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10140" yWindow="0" windowWidth="10455" windowHeight="10905" tabRatio="639" activeTab="15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0" sheetId="81" r:id="rId16"/>
    <sheet name="F11" sheetId="107" r:id="rId17"/>
    <sheet name="F11.1" sheetId="111" r:id="rId18"/>
    <sheet name="F12" sheetId="110" r:id="rId19"/>
    <sheet name="F13" sheetId="71" r:id="rId20"/>
    <sheet name="F15" sheetId="91" r:id="rId21"/>
  </sheets>
  <externalReferences>
    <externalReference r:id="rId22"/>
    <externalReference r:id="rId23"/>
    <externalReference r:id="rId24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ASTNPLF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BSTNPLF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CSTNPLF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_123Graph_XSTNPLF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Fill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new" hidden="1">[2]CE!#REF!</definedName>
    <definedName name="_xlnm.Print_Area" localSheetId="0">Checklist!$A$1:$E$26</definedName>
    <definedName name="_xlnm.Print_Area" localSheetId="15">'F10'!$B$2:$H$43</definedName>
    <definedName name="_xlnm.Print_Area" localSheetId="16">'F11'!$B$1:$T$52</definedName>
    <definedName name="_xlnm.Print_Area" localSheetId="17">F11.1!$B$1:$J$54</definedName>
    <definedName name="_xlnm.Print_Area" localSheetId="18">'F12'!$B$1:$G$19</definedName>
    <definedName name="_xlnm.Print_Area" localSheetId="12">'F7'!$B$2:$F$23</definedName>
    <definedName name="_xlnm.Print_Area" localSheetId="13">'F8'!$A$1:$F$29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  <definedName name="xxxx" hidden="1">[3]CE!#REF!</definedName>
  </definedNames>
  <calcPr calcId="124519" iterate="1" iterateCount="10000" iterateDelta="1.0000000000000001E-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4" i="91"/>
  <c r="Q22"/>
  <c r="Q21"/>
  <c r="Q20"/>
  <c r="Q18"/>
  <c r="Q14"/>
  <c r="Q15"/>
  <c r="Q16"/>
  <c r="Q13"/>
  <c r="Q30"/>
  <c r="D38" i="68" l="1"/>
  <c r="D35" i="67"/>
  <c r="D18" i="69"/>
  <c r="F10" i="71" l="1"/>
  <c r="F8"/>
  <c r="G23" i="102" l="1"/>
  <c r="H23"/>
  <c r="J23"/>
  <c r="K23"/>
  <c r="L23"/>
  <c r="F23"/>
  <c r="F20" i="58" l="1"/>
  <c r="G20" s="1"/>
  <c r="E19" i="110"/>
  <c r="F19" i="58" s="1"/>
  <c r="E18" i="110"/>
  <c r="E17"/>
  <c r="F14"/>
  <c r="G38" i="81"/>
  <c r="G34"/>
  <c r="F29"/>
  <c r="F30"/>
  <c r="G30" s="1"/>
  <c r="F21" i="58" l="1"/>
  <c r="F28" i="81"/>
  <c r="G28" s="1"/>
  <c r="G29"/>
  <c r="B41"/>
  <c r="B42" s="1"/>
  <c r="B37"/>
  <c r="B38" s="1"/>
  <c r="B33"/>
  <c r="B34" s="1"/>
  <c r="B27"/>
  <c r="B28" s="1"/>
  <c r="B29" s="1"/>
  <c r="B30" s="1"/>
  <c r="G24"/>
  <c r="G23"/>
  <c r="B23"/>
  <c r="B24" s="1"/>
  <c r="B19"/>
  <c r="B20" s="1"/>
  <c r="G16"/>
  <c r="B15"/>
  <c r="B16" s="1"/>
  <c r="B50" i="107" l="1"/>
  <c r="B51" s="1"/>
  <c r="B52" s="1"/>
  <c r="G31"/>
  <c r="F31"/>
  <c r="E31"/>
  <c r="G21"/>
  <c r="F21"/>
  <c r="E21"/>
  <c r="G14"/>
  <c r="G16" s="1"/>
  <c r="F14"/>
  <c r="F16" s="1"/>
  <c r="E14"/>
  <c r="E16" s="1"/>
  <c r="B10"/>
  <c r="B12" s="1"/>
  <c r="B13" s="1"/>
  <c r="B14" s="1"/>
  <c r="B15" s="1"/>
  <c r="B16" s="1"/>
  <c r="B18" s="1"/>
  <c r="B19" s="1"/>
  <c r="B20" s="1"/>
  <c r="B21" s="1"/>
  <c r="B23" s="1"/>
  <c r="B28" s="1"/>
  <c r="B29" s="1"/>
  <c r="B30" s="1"/>
  <c r="B31" s="1"/>
  <c r="B32" s="1"/>
  <c r="B34" s="1"/>
  <c r="B35" s="1"/>
  <c r="B36" s="1"/>
  <c r="B38" s="1"/>
  <c r="B39" s="1"/>
  <c r="B40" s="1"/>
  <c r="B41" s="1"/>
  <c r="B42" s="1"/>
  <c r="B43" s="1"/>
  <c r="B44" s="1"/>
  <c r="B45" s="1"/>
  <c r="B46" s="1"/>
  <c r="B47" s="1"/>
  <c r="J31" i="111"/>
  <c r="I31"/>
  <c r="H31"/>
  <c r="G31"/>
  <c r="F31"/>
  <c r="E31"/>
  <c r="J21"/>
  <c r="I21"/>
  <c r="H21"/>
  <c r="G21"/>
  <c r="F21"/>
  <c r="E21"/>
  <c r="J14"/>
  <c r="J16" s="1"/>
  <c r="I14"/>
  <c r="I16" s="1"/>
  <c r="H14"/>
  <c r="H16" s="1"/>
  <c r="G14"/>
  <c r="G16" s="1"/>
  <c r="F14"/>
  <c r="F16" s="1"/>
  <c r="E14"/>
  <c r="E16" s="1"/>
  <c r="F12" i="110"/>
  <c r="E32" i="107" l="1"/>
  <c r="G32"/>
  <c r="F32"/>
  <c r="F34" s="1"/>
  <c r="E34"/>
  <c r="G34"/>
  <c r="E32" i="111"/>
  <c r="E34" s="1"/>
  <c r="F32"/>
  <c r="F34" s="1"/>
  <c r="G32"/>
  <c r="G34" s="1"/>
  <c r="H32"/>
  <c r="H34" s="1"/>
  <c r="I32"/>
  <c r="I34" s="1"/>
  <c r="J32"/>
  <c r="J34" s="1"/>
  <c r="D40" i="104" l="1"/>
  <c r="E40" s="1"/>
  <c r="E18" s="1"/>
  <c r="F29" i="106" l="1"/>
  <c r="E29"/>
  <c r="B10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D25" i="67"/>
  <c r="F11" i="110" l="1"/>
  <c r="F10"/>
  <c r="F13"/>
  <c r="F15"/>
  <c r="F18" i="104"/>
  <c r="F9" i="110" l="1"/>
  <c r="G16" i="58"/>
  <c r="F18" i="110" l="1"/>
  <c r="F19"/>
  <c r="F17"/>
  <c r="F11" i="58"/>
  <c r="E9" i="104" l="1"/>
  <c r="E13" l="1"/>
  <c r="F13" s="1"/>
  <c r="F10" i="105" l="1"/>
  <c r="F11" s="1"/>
  <c r="E10"/>
  <c r="E11" s="1"/>
  <c r="E9" l="1"/>
  <c r="D20" i="69"/>
  <c r="H12" i="58"/>
  <c r="G12" s="1"/>
  <c r="E14" i="103" s="1"/>
  <c r="F13"/>
  <c r="E13"/>
  <c r="E10"/>
  <c r="E9"/>
  <c r="F14" l="1"/>
  <c r="D12" i="71"/>
  <c r="E12"/>
  <c r="C12"/>
  <c r="F12" l="1"/>
  <c r="H16" i="58"/>
  <c r="D25" i="106"/>
  <c r="B13" i="102" l="1"/>
  <c r="B14" s="1"/>
  <c r="B15" s="1"/>
  <c r="B16" s="1"/>
  <c r="B17" s="1"/>
  <c r="B18" s="1"/>
  <c r="B19" s="1"/>
  <c r="B20" s="1"/>
  <c r="B21" s="1"/>
  <c r="B22" s="1"/>
  <c r="M11" l="1"/>
  <c r="M12"/>
  <c r="M15"/>
  <c r="M16"/>
  <c r="M17"/>
  <c r="M18"/>
  <c r="M19"/>
  <c r="M20"/>
  <c r="M21"/>
  <c r="M10"/>
  <c r="M14"/>
  <c r="M22" l="1"/>
  <c r="N13"/>
  <c r="I13"/>
  <c r="N21"/>
  <c r="I21"/>
  <c r="N20"/>
  <c r="I20"/>
  <c r="N19"/>
  <c r="I19"/>
  <c r="N18"/>
  <c r="I18"/>
  <c r="N17"/>
  <c r="I17"/>
  <c r="N16"/>
  <c r="I16"/>
  <c r="N15"/>
  <c r="I15"/>
  <c r="N14"/>
  <c r="N12"/>
  <c r="I12"/>
  <c r="N11"/>
  <c r="I11"/>
  <c r="N10"/>
  <c r="I10"/>
  <c r="O11" l="1"/>
  <c r="O12"/>
  <c r="O15"/>
  <c r="O16"/>
  <c r="O17"/>
  <c r="O18"/>
  <c r="O19"/>
  <c r="O20"/>
  <c r="O21"/>
  <c r="N22"/>
  <c r="N23" s="1"/>
  <c r="I22"/>
  <c r="O10"/>
  <c r="M13"/>
  <c r="M23" s="1"/>
  <c r="O22" l="1"/>
  <c r="O13"/>
  <c r="E16" i="110" l="1"/>
  <c r="D33" i="67"/>
  <c r="F9" i="104" l="1"/>
  <c r="F16" i="110"/>
  <c r="G16" s="1"/>
  <c r="G14"/>
  <c r="G12"/>
  <c r="G11"/>
  <c r="G10"/>
  <c r="G9"/>
  <c r="G13"/>
  <c r="G15"/>
  <c r="G17" l="1"/>
  <c r="E10" i="104" s="1"/>
  <c r="G19" i="110"/>
  <c r="G18"/>
  <c r="H20" i="58"/>
  <c r="D11" i="105"/>
  <c r="E11" i="104" l="1"/>
  <c r="F11" s="1"/>
  <c r="F10"/>
  <c r="D15" i="109"/>
  <c r="D13" i="105"/>
  <c r="D11" i="103"/>
  <c r="E16" i="104" l="1"/>
  <c r="F16" s="1"/>
  <c r="D19" i="103"/>
  <c r="F11" i="66" l="1"/>
  <c r="G11" s="1"/>
  <c r="D36" i="68"/>
  <c r="F13" i="66"/>
  <c r="G13" s="1"/>
  <c r="D13" i="93"/>
  <c r="D17" i="105"/>
  <c r="F17"/>
  <c r="E17"/>
  <c r="F12" i="66" l="1"/>
  <c r="G12" s="1"/>
  <c r="G14" s="1"/>
  <c r="F10" i="103"/>
  <c r="F9" i="105"/>
  <c r="F19" s="1"/>
  <c r="D9" i="109"/>
  <c r="D18" s="1"/>
  <c r="D21" s="1"/>
  <c r="D19" i="105"/>
  <c r="D20" s="1"/>
  <c r="F13" i="58"/>
  <c r="F14" i="66" l="1"/>
  <c r="E12" i="104" s="1"/>
  <c r="F12" s="1"/>
  <c r="E19" i="105"/>
  <c r="F9" i="103"/>
  <c r="F11" s="1"/>
  <c r="E11"/>
  <c r="F13" i="93"/>
  <c r="H11" i="58"/>
  <c r="F18" i="103"/>
  <c r="G11" i="58"/>
  <c r="E13" i="93"/>
  <c r="E13" i="105"/>
  <c r="F13"/>
  <c r="F20" s="1"/>
  <c r="F21" s="1"/>
  <c r="D21" i="69"/>
  <c r="F15" i="58"/>
  <c r="I14" i="102" l="1"/>
  <c r="I23" s="1"/>
  <c r="E20" i="105"/>
  <c r="E21" s="1"/>
  <c r="E22" s="1"/>
  <c r="G15" i="58" l="1"/>
  <c r="F22" i="105"/>
  <c r="H15" i="58" s="1"/>
  <c r="O14" i="102"/>
  <c r="O23" s="1"/>
  <c r="E23"/>
  <c r="E15" i="103" l="1"/>
  <c r="E17" s="1"/>
  <c r="E19" s="1"/>
  <c r="E21" s="1"/>
  <c r="G13" i="58" s="1"/>
  <c r="E16" i="103"/>
  <c r="F16"/>
  <c r="F15"/>
  <c r="F17" s="1"/>
  <c r="F19" s="1"/>
  <c r="F21" s="1"/>
  <c r="H13" i="58" s="1"/>
  <c r="F16"/>
  <c r="H19"/>
  <c r="H21" s="1"/>
  <c r="G19" l="1"/>
  <c r="G21" s="1"/>
  <c r="B20" l="1"/>
  <c r="B21" s="1"/>
  <c r="B10" i="105" l="1"/>
  <c r="B11" s="1"/>
  <c r="B12" s="1"/>
  <c r="B13" s="1"/>
  <c r="B15" s="1"/>
  <c r="B16" s="1"/>
  <c r="B17" s="1"/>
  <c r="B19" s="1"/>
  <c r="B10" i="104"/>
  <c r="B11" s="1"/>
  <c r="B12" s="1"/>
  <c r="B13" s="1"/>
  <c r="B14" s="1"/>
  <c r="B16" s="1"/>
  <c r="B17" s="1"/>
  <c r="B18" s="1"/>
  <c r="B19" s="1"/>
  <c r="B10" i="103"/>
  <c r="B11" s="1"/>
  <c r="B12" s="1"/>
  <c r="B13" s="1"/>
  <c r="B14" s="1"/>
  <c r="B15" s="1"/>
  <c r="B16" s="1"/>
  <c r="B17" s="1"/>
  <c r="B18" s="1"/>
  <c r="B19" s="1"/>
  <c r="B20" s="1"/>
  <c r="B21" s="1"/>
  <c r="B20" i="105" l="1"/>
  <c r="B21" s="1"/>
  <c r="B12" i="58"/>
  <c r="B13" s="1"/>
  <c r="B14" s="1"/>
  <c r="B15" s="1"/>
  <c r="B16" s="1"/>
  <c r="B17" s="1"/>
  <c r="B8" i="91" l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30" s="1"/>
  <c r="B31" s="1"/>
  <c r="B7" i="57" l="1"/>
  <c r="B8" s="1"/>
  <c r="B9" s="1"/>
  <c r="B10" s="1"/>
  <c r="B11" l="1"/>
  <c r="B12" s="1"/>
  <c r="B13" s="1"/>
  <c r="B12" i="66"/>
  <c r="B13" s="1"/>
  <c r="B14" s="1"/>
  <c r="B27" i="67"/>
  <c r="B28" s="1"/>
  <c r="B29" s="1"/>
  <c r="B30" s="1"/>
  <c r="B14" i="57" l="1"/>
  <c r="B15" s="1"/>
  <c r="B16" s="1"/>
  <c r="B17" s="1"/>
  <c r="B18" s="1"/>
  <c r="B19" s="1"/>
  <c r="B20" s="1"/>
  <c r="B21" l="1"/>
  <c r="B22" s="1"/>
  <c r="B23" s="1"/>
  <c r="B24" s="1"/>
  <c r="B25" s="1"/>
  <c r="B26" s="1"/>
  <c r="F14" i="58"/>
  <c r="F17" l="1"/>
  <c r="F22" s="1"/>
  <c r="D17" i="104" s="1"/>
  <c r="G14" i="58"/>
  <c r="H14"/>
  <c r="G17"/>
  <c r="H17"/>
  <c r="G22"/>
  <c r="H22"/>
  <c r="E14" i="104"/>
  <c r="F14"/>
  <c r="E17"/>
  <c r="F17"/>
  <c r="E19"/>
  <c r="F19"/>
  <c r="E20"/>
  <c r="F20"/>
</calcChain>
</file>

<file path=xl/sharedStrings.xml><?xml version="1.0" encoding="utf-8"?>
<sst xmlns="http://schemas.openxmlformats.org/spreadsheetml/2006/main" count="866" uniqueCount="488">
  <si>
    <t>Equity</t>
  </si>
  <si>
    <t>Reference</t>
  </si>
  <si>
    <t>S.No.</t>
  </si>
  <si>
    <t>Actual</t>
  </si>
  <si>
    <t>(Rs. Crore)</t>
  </si>
  <si>
    <t>Form 1</t>
  </si>
  <si>
    <t>Title</t>
  </si>
  <si>
    <t>…</t>
  </si>
  <si>
    <t>Approved</t>
  </si>
  <si>
    <t>Remarks</t>
  </si>
  <si>
    <t>Audited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</si>
  <si>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</si>
  <si>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</si>
  <si>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</si>
  <si>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</si>
  <si>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</si>
  <si>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</si>
  <si>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</si>
  <si>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</si>
  <si>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</si>
  <si>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</si>
  <si>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</si>
  <si>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</si>
  <si>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</si>
  <si>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</si>
  <si>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</si>
  <si>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</si>
  <si>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</si>
  <si>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</si>
  <si>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</si>
  <si>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</si>
  <si>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</si>
  <si>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</si>
  <si>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</si>
  <si>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MW</t>
  </si>
  <si>
    <t>Target Availability for full recovery of AFC</t>
  </si>
  <si>
    <t>%</t>
  </si>
  <si>
    <t>Target PLF for Incentive</t>
  </si>
  <si>
    <t>Scheduled Generation</t>
  </si>
  <si>
    <t>MU</t>
  </si>
  <si>
    <t>Normative Auxiliary Energy Consumption</t>
  </si>
  <si>
    <t>Net Generation</t>
  </si>
  <si>
    <t>Normative Gross Station Heat Rate</t>
  </si>
  <si>
    <t>kcal/kWh</t>
  </si>
  <si>
    <t>Normative Secondary Fuel Oil Consumption</t>
  </si>
  <si>
    <t>ml/kWh</t>
  </si>
  <si>
    <t>Normative Transit Loss</t>
  </si>
  <si>
    <t>Transit Loss</t>
  </si>
  <si>
    <t xml:space="preserve">Note: </t>
  </si>
  <si>
    <t>Total Working Capital requirement</t>
  </si>
  <si>
    <t>Gross Generation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</si>
  <si>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</si>
  <si>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</si>
  <si>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</si>
  <si>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</si>
  <si>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</si>
  <si>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</si>
  <si>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</si>
  <si>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</si>
  <si>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</si>
  <si>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</si>
  <si>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</si>
  <si>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</si>
  <si>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</si>
  <si>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</si>
  <si>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</si>
  <si>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</si>
  <si>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</si>
  <si>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</si>
  <si>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</si>
  <si>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</si>
  <si>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</si>
  <si>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</si>
  <si>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</si>
  <si>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</si>
  <si>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</si>
  <si>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</si>
  <si>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</si>
  <si>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</si>
  <si>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</si>
  <si>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</si>
  <si>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</si>
  <si>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</si>
  <si>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</si>
  <si>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</si>
  <si>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</si>
  <si>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</si>
  <si>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</si>
  <si>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</si>
  <si>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</si>
  <si>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</si>
  <si>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</si>
  <si>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</si>
  <si>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</si>
  <si>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</si>
  <si>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</si>
  <si>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</si>
  <si>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</si>
  <si>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</si>
  <si>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</si>
  <si>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</si>
  <si>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</si>
  <si>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</si>
  <si>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</si>
  <si>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</si>
  <si>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</si>
  <si>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</si>
  <si>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</si>
  <si>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</si>
  <si>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</si>
  <si>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</si>
  <si>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</si>
  <si>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</si>
  <si>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</si>
  <si>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</si>
  <si>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</si>
  <si>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</si>
  <si>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</si>
  <si>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</si>
  <si>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</si>
  <si>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</si>
  <si>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</si>
  <si>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</si>
  <si>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</si>
  <si>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</si>
  <si>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</si>
  <si>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</si>
  <si>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</si>
  <si>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</si>
  <si>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</si>
  <si>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</si>
  <si>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</si>
  <si>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</si>
  <si>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</si>
  <si>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</si>
  <si>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</si>
  <si>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</si>
  <si>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</si>
  <si>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Revenue from sale of electricity</t>
  </si>
  <si>
    <t>Non-Tariff Income</t>
  </si>
  <si>
    <t>Actual/Projected Availability</t>
  </si>
  <si>
    <t>Actual/Projected PLF</t>
  </si>
  <si>
    <t>Actual/Projected Gross Generation</t>
  </si>
  <si>
    <t>Actual/Projected Auxiliary Energy Consumption</t>
  </si>
  <si>
    <t>Actual/Projected Gross Station Heat Rate</t>
  </si>
  <si>
    <t>Actual/Projected Secondary Fuel Oil Consumption</t>
  </si>
  <si>
    <t>Actual/Projected Transit Loss</t>
  </si>
  <si>
    <t>Form 12</t>
  </si>
  <si>
    <t>Unit 1 / Station 1</t>
  </si>
  <si>
    <t>Unit 2 / Station 2</t>
  </si>
  <si>
    <t xml:space="preserve">Depreciation </t>
  </si>
  <si>
    <t>Form 13</t>
  </si>
  <si>
    <t>Total Revenue</t>
  </si>
  <si>
    <t>Auxiliary Consumption</t>
  </si>
  <si>
    <t>Normative Availability (%)</t>
  </si>
  <si>
    <t>Availability</t>
  </si>
  <si>
    <t>Plant Load Factor (PLF)</t>
  </si>
  <si>
    <t>Secondary Fuel Oil Consumption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</si>
  <si>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</si>
  <si>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</si>
  <si>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</si>
  <si>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</si>
  <si>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</si>
  <si>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</si>
  <si>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</si>
  <si>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</si>
  <si>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</si>
  <si>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</si>
  <si>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</si>
  <si>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</si>
  <si>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</si>
  <si>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Total Cost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</si>
  <si>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</si>
  <si>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</si>
  <si>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</si>
  <si>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</si>
  <si>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</si>
  <si>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</si>
  <si>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</si>
  <si>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</si>
  <si>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</si>
  <si>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</si>
  <si>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</si>
  <si>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</si>
  <si>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</si>
  <si>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</si>
  <si>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</si>
  <si>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</si>
  <si>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</si>
  <si>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Gross Station Heat Rate</t>
  </si>
  <si>
    <t>True-Up requirement</t>
  </si>
  <si>
    <t>Legend</t>
  </si>
  <si>
    <t xml:space="preserve">Details of outages should be submitted for each Unit of each station separately </t>
  </si>
  <si>
    <t>R &amp; M Expenses</t>
  </si>
  <si>
    <t>Installed Capacity</t>
  </si>
  <si>
    <t>Weighted average Rate of Interest on actual Loans (%)</t>
  </si>
  <si>
    <t>Average Balance of Net Normative Loan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</si>
  <si>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</si>
  <si>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</si>
  <si>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</si>
  <si>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</si>
  <si>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</si>
  <si>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Type of Thermal Generating Station (Pithead/Non-Pithead)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</si>
  <si>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</si>
  <si>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</si>
  <si>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</si>
  <si>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</si>
  <si>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</si>
  <si>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</si>
  <si>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Revenue from Sale of Electricity</t>
  </si>
  <si>
    <t xml:space="preserve">April-March     </t>
  </si>
  <si>
    <t>Claimed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</si>
  <si>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</si>
  <si>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</si>
  <si>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</si>
  <si>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</si>
  <si>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</si>
  <si>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</si>
  <si>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</si>
  <si>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</si>
  <si>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</si>
  <si>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</si>
  <si>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</si>
  <si>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</si>
  <si>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</si>
  <si>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</si>
  <si>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Name of the package (BTG, BoP, Civil Works etc.)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</si>
  <si>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</si>
  <si>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</si>
  <si>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</si>
  <si>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</si>
  <si>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 expenditure during the year (Rs. Crore)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</si>
  <si>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</si>
  <si>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</si>
  <si>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</si>
  <si>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</si>
  <si>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</si>
  <si>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</si>
  <si>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</si>
  <si>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</si>
  <si>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</si>
  <si>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</si>
  <si>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</si>
  <si>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</si>
  <si>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</si>
  <si>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>Asset group under which the capitalisation has been accounted (Land, Buldings, etc.)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</si>
  <si>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</si>
  <si>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</si>
  <si>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</si>
  <si>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2.1: Employee Expenses</t>
  </si>
  <si>
    <t>Form 2.3: Repair &amp; Maintenance Expenses</t>
  </si>
  <si>
    <t>Form 3:  Summary of Capital Expenditure and Capitalisation</t>
  </si>
  <si>
    <t>Form 3.1:  Statement of Additional Capitalisation after COD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</si>
  <si>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</si>
  <si>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</si>
  <si>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</si>
  <si>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</si>
  <si>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</si>
  <si>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Finance charges</t>
  </si>
  <si>
    <t>Total Interest &amp; Finance charges</t>
  </si>
  <si>
    <t>Form 6:  Interest on working capital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</si>
  <si>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</si>
  <si>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</si>
  <si>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</si>
  <si>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</si>
  <si>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</si>
  <si>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</si>
  <si>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</si>
  <si>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</si>
  <si>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Form 7:  Return on Equity</t>
  </si>
  <si>
    <t>Rate of Return on Equity</t>
  </si>
  <si>
    <t>Base rate of Return on Equity</t>
  </si>
  <si>
    <t>Effective Income Tax rate</t>
  </si>
  <si>
    <t>Form 8:  Non-Tariff Income</t>
  </si>
  <si>
    <t xml:space="preserve">April-March    </t>
  </si>
  <si>
    <t>Form 9:  Planned &amp; Forced Outages</t>
  </si>
  <si>
    <t>Form 10: Operational parameters</t>
  </si>
  <si>
    <t>Form 3.2:  Financing of Additional Capitalisation</t>
  </si>
  <si>
    <t>Additional capitalisation</t>
  </si>
  <si>
    <t>Others (Please Specify)</t>
  </si>
  <si>
    <t>Total (2+3+4+5)</t>
  </si>
  <si>
    <t>Opening Quantity</t>
  </si>
  <si>
    <t>Opening quantity of coal</t>
  </si>
  <si>
    <t>Value ot stock</t>
  </si>
  <si>
    <t>MT</t>
  </si>
  <si>
    <t>Procurement</t>
  </si>
  <si>
    <t>Quantity of coal suppllied by the coal company</t>
  </si>
  <si>
    <t>Coal supplied by coal company (3+4)</t>
  </si>
  <si>
    <t>Normative transit and handling loss</t>
  </si>
  <si>
    <t>Net coal supplied</t>
  </si>
  <si>
    <t>Price</t>
  </si>
  <si>
    <t>Amount charged by coal company</t>
  </si>
  <si>
    <t>Adjustment in amount charged by the coal company</t>
  </si>
  <si>
    <t>Handling, sampling and such other similar charges</t>
  </si>
  <si>
    <t>Total amount charged (8+9+10)</t>
  </si>
  <si>
    <t>D</t>
  </si>
  <si>
    <t>Transportation</t>
  </si>
  <si>
    <t>Transportation charges</t>
  </si>
  <si>
    <t>By rail</t>
  </si>
  <si>
    <t>By road</t>
  </si>
  <si>
    <t>By ship</t>
  </si>
  <si>
    <t>Adjustment in amount charged by the coal transporter</t>
  </si>
  <si>
    <t>Demurrage charges, if any</t>
  </si>
  <si>
    <t>Total Transportation charges (12+13+14+15)</t>
  </si>
  <si>
    <t>Total amount charged for coal supplied including transportation (11+16)</t>
  </si>
  <si>
    <t>E</t>
  </si>
  <si>
    <t>Landed cost of coal (2+17)/(1+7)</t>
  </si>
  <si>
    <t>Rs./MT</t>
  </si>
  <si>
    <t>Blending Ratio (Domestic/Imported)</t>
  </si>
  <si>
    <t>Weighted average cost of coal for preceding three months</t>
  </si>
  <si>
    <t>F</t>
  </si>
  <si>
    <t>Quality</t>
  </si>
  <si>
    <t>kcal/kg</t>
  </si>
  <si>
    <t>GCV of Domestic Coal supplied as per bill of Coal Company</t>
  </si>
  <si>
    <t>GCV of Imported Coal supplied as per bill Coal Company</t>
  </si>
  <si>
    <t>Weighted average GCV of coal as Billed</t>
  </si>
  <si>
    <t>GCV of Domestic Coal supplied as received at Station</t>
  </si>
  <si>
    <t>GCV of Imported Coal of opening stock as received at Station</t>
  </si>
  <si>
    <t>Weighted average GCV of coal as Received</t>
  </si>
  <si>
    <t>Similar details to be furnished for secondary fuel oil for coal based thermal plants with appropriate units.</t>
  </si>
  <si>
    <t>As billed and as received GCV, quantity of coal, and price should be submitted as certified by statutory auditor.</t>
  </si>
  <si>
    <t>Details to be provided for each source separately. In case of more than one source, add additional column.</t>
  </si>
  <si>
    <t>Break up of the amount charged by the Coal Company is to be provided separately.</t>
  </si>
  <si>
    <t>COD</t>
  </si>
  <si>
    <t>Form 11: Fuel Details for computation of Energy Charge Rate</t>
  </si>
  <si>
    <t>Form 12: Energy Charge Rate</t>
  </si>
  <si>
    <t>Secondary Fuel oil consumption</t>
  </si>
  <si>
    <t>Calorific Value of Secondary Fuel</t>
  </si>
  <si>
    <t>Landed Price of Secondary Fuel</t>
  </si>
  <si>
    <t>Landed Price of Coal</t>
  </si>
  <si>
    <t>Specific Coal Consumption</t>
  </si>
  <si>
    <t>ECR</t>
  </si>
  <si>
    <t>AUX</t>
  </si>
  <si>
    <t>SFC</t>
  </si>
  <si>
    <t>CVSF</t>
  </si>
  <si>
    <t>kcal/ml</t>
  </si>
  <si>
    <t>LPSF</t>
  </si>
  <si>
    <t>Rs./ml</t>
  </si>
  <si>
    <t>CVPF</t>
  </si>
  <si>
    <t>LPPF</t>
  </si>
  <si>
    <t>Rs./kg</t>
  </si>
  <si>
    <t>kg/kWh</t>
  </si>
  <si>
    <t>GSHR</t>
  </si>
  <si>
    <t>Gross Calorific Value of Coal</t>
  </si>
  <si>
    <t>Form 13: Sales</t>
  </si>
  <si>
    <t>Beneficiary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</si>
  <si>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</si>
  <si>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</si>
  <si>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</si>
  <si>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</si>
  <si>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</si>
  <si>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</si>
  <si>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</si>
  <si>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</si>
  <si>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</si>
  <si>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</si>
  <si>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</si>
  <si>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</si>
  <si>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</si>
  <si>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</si>
  <si>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</si>
  <si>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</si>
  <si>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</si>
  <si>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</si>
  <si>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</si>
  <si>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</si>
  <si>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</si>
  <si>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</si>
  <si>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GCV of Domestic Coal of the opening stock as received at Station</t>
  </si>
  <si>
    <t>GCV of Imported Coal of the opening stock as per bill Coal Company</t>
  </si>
  <si>
    <t>GCV of Domestic Coal of the opening coal stock as per bill of Coal Company</t>
  </si>
  <si>
    <t>Cost of diesel in transporting coal through MGR system, if applicable</t>
  </si>
  <si>
    <t>Unfunded past liabilities of pension &amp; gratuity</t>
  </si>
  <si>
    <t>AFC +Energy Charges</t>
  </si>
  <si>
    <t>Adjustment in coal quantity supplied by the coal company (-/+)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</si>
  <si>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</si>
  <si>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</si>
  <si>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t>1 In case actual availability is less or more than normative value, the modification in the formula need to be done accordingly.</t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</si>
  <si>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</si>
  <si>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</si>
  <si>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 xml:space="preserve">      &lt;TGGENCO&gt;</t>
  </si>
  <si>
    <t>TGGENCO</t>
  </si>
  <si>
    <t>FY 2024-25</t>
  </si>
  <si>
    <t>Form 2.2: Administrative &amp; General Expenses</t>
  </si>
  <si>
    <t>Form 1: Summary Sheet</t>
  </si>
  <si>
    <t>Coal Rate</t>
  </si>
  <si>
    <t>Oil Rate</t>
  </si>
  <si>
    <t>Land &amp; Land Rights</t>
  </si>
  <si>
    <t>Lines &amp; Cable Network</t>
  </si>
  <si>
    <t>Capital Spares</t>
  </si>
  <si>
    <t>Other Civil Works</t>
  </si>
  <si>
    <t>Furniture&amp; Fixtures</t>
  </si>
  <si>
    <t>Computers</t>
  </si>
  <si>
    <t>Intangible Assets</t>
  </si>
  <si>
    <t>Land Deposits</t>
  </si>
  <si>
    <t xml:space="preserve">CURRENT CONSUMPTION CHARGES                       </t>
  </si>
  <si>
    <t xml:space="preserve">INCOME FROM SALE OF ASH                           </t>
  </si>
  <si>
    <t xml:space="preserve">INCOME FROM SALE OF COAL REJECTS                  </t>
  </si>
  <si>
    <t xml:space="preserve">INCOME FROM SALE OF SCRAP                         </t>
  </si>
  <si>
    <t xml:space="preserve">INTEREST ON CYCLE/MOPED/MOTOR CYCLE/CAR ADVANCE   </t>
  </si>
  <si>
    <t xml:space="preserve">INTEREST ON MARRIAGE ADVANCE TO STAFF             </t>
  </si>
  <si>
    <t>INTEREST ON STAFF LOANS &amp; ADVANCES(HOUSE BUILDING)</t>
  </si>
  <si>
    <t xml:space="preserve">INTEREST/INCOME FROM OTHER DEPOSITS               </t>
  </si>
  <si>
    <t xml:space="preserve">INTEREST/INCOME ON DEPOSITS FROM BANKS            </t>
  </si>
  <si>
    <t xml:space="preserve">OTHER INCOME - CONSULTANCY PROJECTS               </t>
  </si>
  <si>
    <t xml:space="preserve">OTHER MISCELLANEOUS RECEIPTS/INCOME               </t>
  </si>
  <si>
    <t xml:space="preserve">OTHER RENTAL OR LETTING OUT                       </t>
  </si>
  <si>
    <t xml:space="preserve">PENALITIES RECOVERED FROM CONTRACTORS             </t>
  </si>
  <si>
    <t xml:space="preserve">RENTAL FROM RES. QUARTERS FROM UN REG PERSONS     </t>
  </si>
  <si>
    <t xml:space="preserve">RENTAL FROM STAFF FOR RESIDENTIAL QUARTERS        </t>
  </si>
  <si>
    <t xml:space="preserve">SALE OF TENDER SPECIFICATIONS                     </t>
  </si>
  <si>
    <t xml:space="preserve">VENDOR REGISTRATION FEE                           </t>
  </si>
  <si>
    <t xml:space="preserve">WATER CHARGES                                     </t>
  </si>
  <si>
    <t>Telangana State Power Generation Corporation Limited</t>
  </si>
  <si>
    <t>Opening quantity of oil</t>
  </si>
  <si>
    <t>KL</t>
  </si>
  <si>
    <t>Rs.in Crs</t>
  </si>
  <si>
    <t>Quantity of oil suppllied by the oil company</t>
  </si>
  <si>
    <t>Adjustment in oil quantity supplied by the oil company</t>
  </si>
  <si>
    <t>oil supplied by oil company (3+4)</t>
  </si>
  <si>
    <t>Net oil supplied</t>
  </si>
  <si>
    <t>Amount charged by oil company</t>
  </si>
  <si>
    <t>Adjustment in amount charged by the oil company</t>
  </si>
  <si>
    <t>Adjustment in amount charged by the oil transporter</t>
  </si>
  <si>
    <t>Cost of diesel in transporting oil through MGR system, if
applicable</t>
  </si>
  <si>
    <t>Total amount charged for oil supplied including transportation (11+16)</t>
  </si>
  <si>
    <t>Landed cost of oil (2+17)/(1+7)</t>
  </si>
  <si>
    <t>Rs./KL</t>
  </si>
  <si>
    <t>Weighted average cost of oil for preceding three months</t>
  </si>
  <si>
    <t xml:space="preserve">GCV of Domestic Oil of the opening Oil stock as per bill of Oil Company
</t>
  </si>
  <si>
    <t>kcal/litre</t>
  </si>
  <si>
    <t>GCV of Domestic Oil supplied as per bill of Oil Company</t>
  </si>
  <si>
    <t xml:space="preserve">GCV of Imported Oil of the opening stock as per bill Oil Company 
</t>
  </si>
  <si>
    <t>GCV of Imported Oil supplied as per bill Oil Company</t>
  </si>
  <si>
    <t>Weighted average GCV of Oil as Billed</t>
  </si>
  <si>
    <t xml:space="preserve">GCV of Domestic Oil of the opening stock as received at Station
</t>
  </si>
  <si>
    <t>GCV of Domestic Oil supplied as received at Station</t>
  </si>
  <si>
    <t xml:space="preserve">GCV of Imported Oil of opening stock as received at Station
</t>
  </si>
  <si>
    <t>GCV of Imported Oil of opening stock as received at Station</t>
  </si>
  <si>
    <t>Weighted average GCV of Oil as Received</t>
  </si>
  <si>
    <t>-</t>
  </si>
  <si>
    <t>Fuel (savings)/charge year end adjustment</t>
  </si>
  <si>
    <t>Fixed charges disallowed as per TGSLDC Availability</t>
  </si>
  <si>
    <t>Fixed charges reduced prorata to actual capitalisation in case of BTPS</t>
  </si>
  <si>
    <t>TGSPDCL (70.55%)</t>
  </si>
  <si>
    <t>TGNPDCL (29.45%)</t>
  </si>
  <si>
    <t>(enclosed as Annexure)</t>
  </si>
  <si>
    <t>True-Up requirement (normative)</t>
  </si>
  <si>
    <t>True-Up requirement (Normative)</t>
  </si>
  <si>
    <t xml:space="preserve">PROFIT ON SALE OF FIXED ASSETS                    </t>
  </si>
  <si>
    <t>SBI one year MCLR</t>
  </si>
  <si>
    <t>Month</t>
  </si>
  <si>
    <t>No of days</t>
  </si>
  <si>
    <t>SBI MCLR rate</t>
  </si>
  <si>
    <t>April</t>
  </si>
  <si>
    <t>April-May</t>
  </si>
  <si>
    <t>May-June</t>
  </si>
  <si>
    <t>June-July</t>
  </si>
  <si>
    <t>July-August</t>
  </si>
  <si>
    <t>August-September</t>
  </si>
  <si>
    <t>September-October</t>
  </si>
  <si>
    <t>October-November</t>
  </si>
  <si>
    <t>November-December</t>
  </si>
  <si>
    <t>December-January</t>
  </si>
  <si>
    <t>January-February</t>
  </si>
  <si>
    <t>February-March</t>
  </si>
  <si>
    <t>March</t>
  </si>
  <si>
    <t>RTS-B</t>
  </si>
  <si>
    <t>HFO</t>
  </si>
  <si>
    <t>HSD</t>
  </si>
  <si>
    <t>Consumptions for the month of April</t>
  </si>
  <si>
    <t xml:space="preserve">Other issues HSD oil Automobiles (RTS) </t>
  </si>
  <si>
    <t>value</t>
  </si>
  <si>
    <t>Consumption rate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</si>
  <si>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</si>
  <si>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</si>
  <si>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</si>
  <si>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</si>
  <si>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</si>
  <si>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</si>
  <si>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</si>
  <si>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</si>
  <si>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</si>
  <si>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17.10.1971</t>
  </si>
  <si>
    <t>Non-Pit Head</t>
  </si>
  <si>
    <t xml:space="preserve">      &lt;RTS-B&gt;</t>
  </si>
  <si>
    <t>(Rs. in Cr.)</t>
  </si>
  <si>
    <t>kcal/KL</t>
  </si>
</sst>
</file>

<file path=xl/styles.xml><?xml version="1.0" encoding="utf-8"?>
<styleSheet xmlns="http://schemas.openxmlformats.org/spreadsheetml/2006/main">
  <numFmts count="15">
    <numFmt numFmtId="43" formatCode="_ * #,##0.00_ ;_ * \-#,##0.00_ ;_ * &quot;-&quot;??_ ;_ @_ "/>
    <numFmt numFmtId="164" formatCode="&quot;$&quot;#,##0.00_);[Red]\(&quot;$&quot;#,##0.00\)"/>
    <numFmt numFmtId="165" formatCode="_(* #,##0.00_);_(* \(#,##0.00\);_(* &quot;-&quot;??_);_(@_)"/>
    <numFmt numFmtId="166" formatCode="_-* #,##0.00_-;\-* #,##0.00_-;_-* &quot;-&quot;??_-;_-@_-"/>
    <numFmt numFmtId="167" formatCode="0.00_)"/>
    <numFmt numFmtId="168" formatCode="&quot;ß&quot;#,##0.00_);\(&quot;ß&quot;#,##0.00\)"/>
    <numFmt numFmtId="169" formatCode="0.0000000"/>
    <numFmt numFmtId="170" formatCode="0.000"/>
    <numFmt numFmtId="171" formatCode="0.00000000000"/>
    <numFmt numFmtId="172" formatCode="dd\.mm\.yyyy"/>
    <numFmt numFmtId="173" formatCode="_ * #,##0.000_ ;_ * \-#,##0.000_ ;_ * &quot;-&quot;???_ ;_ @_ "/>
    <numFmt numFmtId="174" formatCode="_(* #,##0.000_);_(* \(#,##0.000\);_(* &quot;-&quot;??_);_(@_)"/>
    <numFmt numFmtId="175" formatCode="_ &quot;రూ&quot;\ * #,##0.00_ ;_ &quot;రూ&quot;\ * \-#,##0.00_ ;_ &quot;రూ&quot;\ * &quot;-&quot;??_ ;_ @_ "/>
    <numFmt numFmtId="176" formatCode="0.000%"/>
    <numFmt numFmtId="177" formatCode="0.000000"/>
  </numFmts>
  <fonts count="4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  <font>
      <sz val="13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3"/>
      <name val="Calibri"/>
      <family val="2"/>
      <scheme val="minor"/>
    </font>
    <font>
      <b/>
      <sz val="13"/>
      <name val="Calibri"/>
      <family val="2"/>
      <scheme val="minor"/>
    </font>
    <font>
      <b/>
      <sz val="13"/>
      <name val="Arial"/>
      <family val="2"/>
    </font>
    <font>
      <sz val="12"/>
      <color theme="1"/>
      <name val="Calibri"/>
      <family val="2"/>
      <scheme val="minor"/>
    </font>
    <font>
      <vertAlign val="superscript"/>
      <sz val="11"/>
      <name val="Arial"/>
      <family val="2"/>
    </font>
    <font>
      <sz val="11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64">
    <xf numFmtId="0" fontId="0" fillId="0" borderId="0"/>
    <xf numFmtId="0" fontId="12" fillId="0" borderId="0" applyNumberFormat="0" applyFill="0" applyBorder="0" applyAlignment="0" applyProtection="0"/>
    <xf numFmtId="0" fontId="13" fillId="0" borderId="1"/>
    <xf numFmtId="0" fontId="13" fillId="0" borderId="1"/>
    <xf numFmtId="38" fontId="14" fillId="2" borderId="0" applyNumberFormat="0" applyBorder="0" applyAlignment="0" applyProtection="0"/>
    <xf numFmtId="0" fontId="15" fillId="0" borderId="2" applyNumberFormat="0" applyAlignment="0" applyProtection="0">
      <alignment horizontal="left" vertical="center"/>
    </xf>
    <xf numFmtId="0" fontId="15" fillId="0" borderId="3">
      <alignment horizontal="left" vertical="center"/>
    </xf>
    <xf numFmtId="10" fontId="14" fillId="3" borderId="4" applyNumberFormat="0" applyBorder="0" applyAlignment="0" applyProtection="0"/>
    <xf numFmtId="37" fontId="16" fillId="0" borderId="0"/>
    <xf numFmtId="167" fontId="17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>
      <alignment vertical="center"/>
    </xf>
    <xf numFmtId="168" fontId="11" fillId="0" borderId="0" applyFont="0" applyFill="0" applyBorder="0" applyAlignment="0" applyProtection="0"/>
    <xf numFmtId="10" fontId="11" fillId="0" borderId="0" applyFont="0" applyFill="0" applyBorder="0" applyAlignment="0" applyProtection="0"/>
    <xf numFmtId="0" fontId="11" fillId="0" borderId="0"/>
    <xf numFmtId="0" fontId="19" fillId="0" borderId="0"/>
    <xf numFmtId="165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166" fontId="20" fillId="0" borderId="0" applyFont="0" applyFill="0" applyBorder="0" applyAlignment="0" applyProtection="0"/>
    <xf numFmtId="0" fontId="21" fillId="0" borderId="0"/>
    <xf numFmtId="9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/>
    <xf numFmtId="0" fontId="20" fillId="0" borderId="0"/>
    <xf numFmtId="0" fontId="20" fillId="0" borderId="0"/>
    <xf numFmtId="0" fontId="19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0" fillId="0" borderId="0" applyFont="0" applyFill="0" applyBorder="0" applyAlignment="0" applyProtection="0"/>
    <xf numFmtId="165" fontId="22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1" fillId="0" borderId="0"/>
    <xf numFmtId="0" fontId="11" fillId="0" borderId="0"/>
    <xf numFmtId="0" fontId="9" fillId="0" borderId="0"/>
    <xf numFmtId="0" fontId="11" fillId="0" borderId="0" applyBorder="0" applyProtection="0"/>
    <xf numFmtId="168" fontId="20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6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" fillId="0" borderId="0"/>
    <xf numFmtId="0" fontId="7" fillId="0" borderId="0"/>
    <xf numFmtId="0" fontId="6" fillId="0" borderId="0"/>
    <xf numFmtId="0" fontId="5" fillId="0" borderId="0"/>
    <xf numFmtId="43" fontId="2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175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11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1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30" fillId="0" borderId="0"/>
    <xf numFmtId="0" fontId="30" fillId="0" borderId="0"/>
    <xf numFmtId="0" fontId="4" fillId="0" borderId="0"/>
    <xf numFmtId="0" fontId="30" fillId="0" borderId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43" fontId="11" fillId="0" borderId="0" applyFont="0" applyFill="0" applyBorder="0" applyAlignment="0" applyProtection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43" fontId="11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75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43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30" fillId="0" borderId="0"/>
    <xf numFmtId="0" fontId="4" fillId="0" borderId="0" applyFont="0" applyFill="0" applyBorder="0" applyAlignment="0" applyProtection="0"/>
    <xf numFmtId="0" fontId="4" fillId="0" borderId="0"/>
    <xf numFmtId="0" fontId="30" fillId="0" borderId="0"/>
    <xf numFmtId="0" fontId="3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175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43" fontId="11" fillId="0" borderId="0" applyFont="0" applyFill="0" applyBorder="0" applyAlignment="0" applyProtection="0"/>
    <xf numFmtId="0" fontId="4" fillId="0" borderId="0"/>
    <xf numFmtId="0" fontId="4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43" fontId="11" fillId="0" borderId="0" applyFont="0" applyFill="0" applyBorder="0" applyAlignment="0" applyProtection="0"/>
    <xf numFmtId="0" fontId="4" fillId="0" borderId="0"/>
    <xf numFmtId="0" fontId="4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43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" fillId="0" borderId="0"/>
    <xf numFmtId="43" fontId="11" fillId="0" borderId="0" applyFont="0" applyFill="0" applyBorder="0" applyAlignment="0" applyProtection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3" fillId="0" borderId="0"/>
    <xf numFmtId="43" fontId="1" fillId="0" borderId="0" applyFont="0" applyFill="0" applyBorder="0" applyAlignment="0" applyProtection="0"/>
    <xf numFmtId="0" fontId="1" fillId="0" borderId="0"/>
  </cellStyleXfs>
  <cellXfs count="293">
    <xf numFmtId="0" fontId="0" fillId="0" borderId="0" xfId="0"/>
    <xf numFmtId="0" fontId="10" fillId="0" borderId="0" xfId="10" applyFont="1" applyAlignment="1">
      <alignment horizontal="center" vertical="center"/>
    </xf>
    <xf numFmtId="0" fontId="18" fillId="0" borderId="4" xfId="14" applyFont="1" applyBorder="1" applyAlignment="1">
      <alignment horizontal="center" vertical="center"/>
    </xf>
    <xf numFmtId="0" fontId="18" fillId="0" borderId="4" xfId="14" applyFont="1" applyBorder="1">
      <alignment vertical="center"/>
    </xf>
    <xf numFmtId="0" fontId="18" fillId="0" borderId="0" xfId="10" applyFont="1"/>
    <xf numFmtId="0" fontId="18" fillId="0" borderId="0" xfId="10" applyFont="1" applyAlignment="1">
      <alignment vertical="center"/>
    </xf>
    <xf numFmtId="0" fontId="10" fillId="0" borderId="0" xfId="14" applyFont="1">
      <alignment vertical="center"/>
    </xf>
    <xf numFmtId="0" fontId="10" fillId="0" borderId="4" xfId="14" applyFont="1" applyBorder="1" applyAlignment="1">
      <alignment horizontal="center" vertical="center"/>
    </xf>
    <xf numFmtId="0" fontId="10" fillId="0" borderId="4" xfId="14" applyFont="1" applyBorder="1" applyAlignment="1">
      <alignment horizontal="left" vertical="center"/>
    </xf>
    <xf numFmtId="0" fontId="10" fillId="0" borderId="4" xfId="14" applyFont="1" applyBorder="1" applyAlignment="1">
      <alignment vertical="top" wrapText="1"/>
    </xf>
    <xf numFmtId="0" fontId="10" fillId="0" borderId="0" xfId="10" applyFont="1"/>
    <xf numFmtId="0" fontId="15" fillId="0" borderId="8" xfId="14" applyFont="1" applyBorder="1" applyAlignment="1">
      <alignment horizontal="center" vertical="center"/>
    </xf>
    <xf numFmtId="0" fontId="15" fillId="0" borderId="4" xfId="14" applyFont="1" applyBorder="1" applyAlignment="1">
      <alignment horizontal="center" vertical="center"/>
    </xf>
    <xf numFmtId="0" fontId="18" fillId="0" borderId="0" xfId="14" applyFont="1">
      <alignment vertical="center"/>
    </xf>
    <xf numFmtId="0" fontId="23" fillId="0" borderId="4" xfId="14" applyFont="1" applyBorder="1" applyAlignment="1">
      <alignment horizontal="center" vertical="center"/>
    </xf>
    <xf numFmtId="0" fontId="23" fillId="0" borderId="4" xfId="14" applyFont="1" applyBorder="1" applyAlignment="1">
      <alignment horizontal="center" vertical="center" wrapText="1"/>
    </xf>
    <xf numFmtId="0" fontId="18" fillId="0" borderId="4" xfId="14" applyFont="1" applyBorder="1" applyAlignment="1">
      <alignment horizontal="left" vertical="center"/>
    </xf>
    <xf numFmtId="0" fontId="18" fillId="5" borderId="4" xfId="14" applyFont="1" applyFill="1" applyBorder="1" applyAlignment="1">
      <alignment horizontal="left" vertical="center"/>
    </xf>
    <xf numFmtId="0" fontId="18" fillId="0" borderId="4" xfId="14" applyFont="1" applyBorder="1" applyAlignment="1">
      <alignment vertical="top" wrapText="1"/>
    </xf>
    <xf numFmtId="0" fontId="23" fillId="0" borderId="4" xfId="14" applyFont="1" applyBorder="1">
      <alignment vertical="center"/>
    </xf>
    <xf numFmtId="0" fontId="18" fillId="0" borderId="4" xfId="10" applyFont="1" applyBorder="1" applyAlignment="1">
      <alignment horizontal="center" vertical="center"/>
    </xf>
    <xf numFmtId="0" fontId="18" fillId="0" borderId="4" xfId="10" applyFont="1" applyBorder="1" applyAlignment="1">
      <alignment horizontal="center" vertical="center" wrapText="1"/>
    </xf>
    <xf numFmtId="0" fontId="23" fillId="0" borderId="7" xfId="10" applyFont="1" applyBorder="1" applyAlignment="1">
      <alignment horizontal="center" vertical="center" wrapText="1"/>
    </xf>
    <xf numFmtId="0" fontId="23" fillId="0" borderId="4" xfId="10" applyFont="1" applyBorder="1" applyAlignment="1">
      <alignment horizontal="center" vertical="center"/>
    </xf>
    <xf numFmtId="0" fontId="23" fillId="0" borderId="0" xfId="10" applyFont="1" applyAlignment="1">
      <alignment horizontal="left" vertical="center"/>
    </xf>
    <xf numFmtId="0" fontId="23" fillId="0" borderId="0" xfId="10" applyFont="1" applyAlignment="1">
      <alignment horizontal="right" vertical="center"/>
    </xf>
    <xf numFmtId="0" fontId="23" fillId="0" borderId="0" xfId="14" applyFont="1" applyAlignment="1">
      <alignment horizontal="right" vertical="center"/>
    </xf>
    <xf numFmtId="0" fontId="18" fillId="0" borderId="4" xfId="10" applyFont="1" applyBorder="1" applyAlignment="1">
      <alignment vertical="center"/>
    </xf>
    <xf numFmtId="0" fontId="18" fillId="0" borderId="4" xfId="0" applyFont="1" applyBorder="1" applyAlignment="1">
      <alignment vertical="center"/>
    </xf>
    <xf numFmtId="0" fontId="18" fillId="0" borderId="4" xfId="10" applyFont="1" applyBorder="1" applyAlignment="1">
      <alignment horizontal="left" vertical="center"/>
    </xf>
    <xf numFmtId="0" fontId="23" fillId="0" borderId="4" xfId="10" applyFont="1" applyBorder="1" applyAlignment="1">
      <alignment horizontal="left" vertical="center" wrapText="1"/>
    </xf>
    <xf numFmtId="0" fontId="23" fillId="0" borderId="4" xfId="10" applyFont="1" applyBorder="1" applyAlignment="1">
      <alignment horizontal="center" vertical="center" wrapText="1"/>
    </xf>
    <xf numFmtId="0" fontId="23" fillId="0" borderId="0" xfId="10" applyFont="1" applyAlignment="1">
      <alignment vertical="center"/>
    </xf>
    <xf numFmtId="0" fontId="23" fillId="0" borderId="0" xfId="14" applyFont="1" applyAlignment="1">
      <alignment horizontal="center" vertical="center"/>
    </xf>
    <xf numFmtId="0" fontId="18" fillId="0" borderId="0" xfId="10" applyFont="1" applyAlignment="1">
      <alignment horizontal="center" vertical="center"/>
    </xf>
    <xf numFmtId="0" fontId="23" fillId="0" borderId="0" xfId="10" applyFont="1" applyAlignment="1">
      <alignment horizontal="center" vertical="center"/>
    </xf>
    <xf numFmtId="0" fontId="23" fillId="0" borderId="0" xfId="14" applyFont="1">
      <alignment vertical="center"/>
    </xf>
    <xf numFmtId="0" fontId="18" fillId="0" borderId="4" xfId="10" applyFont="1" applyBorder="1" applyAlignment="1">
      <alignment horizontal="left" vertical="center" wrapText="1"/>
    </xf>
    <xf numFmtId="0" fontId="23" fillId="0" borderId="0" xfId="14" applyFont="1" applyAlignment="1">
      <alignment horizontal="center" vertical="center" wrapText="1"/>
    </xf>
    <xf numFmtId="0" fontId="23" fillId="0" borderId="4" xfId="10" applyFont="1" applyBorder="1" applyAlignment="1">
      <alignment vertical="center"/>
    </xf>
    <xf numFmtId="0" fontId="18" fillId="0" borderId="4" xfId="10" applyFont="1" applyBorder="1" applyAlignment="1">
      <alignment horizontal="right" vertical="center"/>
    </xf>
    <xf numFmtId="0" fontId="18" fillId="0" borderId="4" xfId="10" applyFont="1" applyBorder="1"/>
    <xf numFmtId="0" fontId="23" fillId="0" borderId="4" xfId="10" applyFont="1" applyBorder="1"/>
    <xf numFmtId="0" fontId="23" fillId="0" borderId="0" xfId="10" applyFont="1" applyAlignment="1">
      <alignment horizontal="justify" vertical="top" wrapText="1"/>
    </xf>
    <xf numFmtId="0" fontId="18" fillId="0" borderId="0" xfId="10" applyFont="1" applyAlignment="1">
      <alignment horizontal="left"/>
    </xf>
    <xf numFmtId="0" fontId="18" fillId="0" borderId="4" xfId="10" applyFont="1" applyBorder="1" applyAlignment="1">
      <alignment wrapText="1"/>
    </xf>
    <xf numFmtId="0" fontId="18" fillId="0" borderId="0" xfId="10" applyFont="1" applyAlignment="1">
      <alignment horizontal="left" vertical="center"/>
    </xf>
    <xf numFmtId="0" fontId="18" fillId="0" borderId="0" xfId="10" applyFont="1" applyAlignment="1">
      <alignment horizontal="right" vertical="center"/>
    </xf>
    <xf numFmtId="0" fontId="24" fillId="0" borderId="0" xfId="10" applyFont="1" applyAlignment="1">
      <alignment horizontal="left" vertical="center"/>
    </xf>
    <xf numFmtId="0" fontId="24" fillId="0" borderId="0" xfId="10" applyFont="1" applyAlignment="1">
      <alignment vertical="center"/>
    </xf>
    <xf numFmtId="0" fontId="24" fillId="0" borderId="0" xfId="10" applyFont="1" applyAlignment="1">
      <alignment horizontal="center" vertical="center"/>
    </xf>
    <xf numFmtId="0" fontId="18" fillId="0" borderId="4" xfId="10" quotePrefix="1" applyFont="1" applyBorder="1" applyAlignment="1">
      <alignment horizontal="left" vertical="top" wrapText="1"/>
    </xf>
    <xf numFmtId="0" fontId="18" fillId="0" borderId="4" xfId="10" applyFont="1" applyBorder="1" applyAlignment="1">
      <alignment horizontal="left"/>
    </xf>
    <xf numFmtId="0" fontId="23" fillId="0" borderId="4" xfId="10" applyFont="1" applyBorder="1" applyAlignment="1">
      <alignment horizontal="left"/>
    </xf>
    <xf numFmtId="0" fontId="18" fillId="0" borderId="0" xfId="14" applyFont="1" applyAlignment="1">
      <alignment horizontal="center" vertical="center"/>
    </xf>
    <xf numFmtId="0" fontId="18" fillId="0" borderId="4" xfId="10" applyFont="1" applyBorder="1" applyAlignment="1">
      <alignment horizontal="left" vertical="top" wrapText="1"/>
    </xf>
    <xf numFmtId="0" fontId="23" fillId="0" borderId="0" xfId="10" applyFont="1" applyAlignment="1">
      <alignment horizontal="left"/>
    </xf>
    <xf numFmtId="0" fontId="23" fillId="0" borderId="0" xfId="10" applyFont="1" applyAlignment="1">
      <alignment horizontal="right"/>
    </xf>
    <xf numFmtId="0" fontId="23" fillId="0" borderId="0" xfId="10" applyFont="1" applyAlignment="1">
      <alignment horizontal="left" vertical="center" wrapText="1"/>
    </xf>
    <xf numFmtId="0" fontId="18" fillId="0" borderId="7" xfId="10" applyFont="1" applyBorder="1" applyAlignment="1">
      <alignment horizontal="center" vertical="center"/>
    </xf>
    <xf numFmtId="0" fontId="24" fillId="0" borderId="0" xfId="10" applyFont="1" applyAlignment="1">
      <alignment horizontal="right" vertical="center"/>
    </xf>
    <xf numFmtId="0" fontId="18" fillId="0" borderId="0" xfId="10" applyFont="1" applyAlignment="1">
      <alignment horizontal="center"/>
    </xf>
    <xf numFmtId="0" fontId="23" fillId="4" borderId="13" xfId="67" applyFont="1" applyFill="1" applyBorder="1" applyAlignment="1">
      <alignment horizontal="center" vertical="center" wrapText="1"/>
    </xf>
    <xf numFmtId="0" fontId="23" fillId="4" borderId="14" xfId="67" applyFont="1" applyFill="1" applyBorder="1" applyAlignment="1">
      <alignment horizontal="center" vertical="center" wrapText="1"/>
    </xf>
    <xf numFmtId="0" fontId="15" fillId="0" borderId="0" xfId="14" applyFont="1" applyAlignment="1">
      <alignment horizontal="center" vertical="center"/>
    </xf>
    <xf numFmtId="0" fontId="23" fillId="0" borderId="6" xfId="14" applyFont="1" applyBorder="1" applyAlignment="1">
      <alignment horizontal="center" vertical="center" wrapText="1"/>
    </xf>
    <xf numFmtId="0" fontId="18" fillId="0" borderId="4" xfId="10" applyFont="1" applyBorder="1" applyAlignment="1">
      <alignment vertical="center" wrapText="1"/>
    </xf>
    <xf numFmtId="0" fontId="18" fillId="0" borderId="9" xfId="14" applyFont="1" applyBorder="1">
      <alignment vertical="center"/>
    </xf>
    <xf numFmtId="0" fontId="23" fillId="0" borderId="4" xfId="10" applyFont="1" applyBorder="1" applyAlignment="1">
      <alignment vertical="center" wrapText="1"/>
    </xf>
    <xf numFmtId="0" fontId="23" fillId="4" borderId="4" xfId="14" applyFont="1" applyFill="1" applyBorder="1" applyAlignment="1">
      <alignment horizontal="center" vertical="center" wrapText="1"/>
    </xf>
    <xf numFmtId="0" fontId="23" fillId="0" borderId="0" xfId="10" applyFont="1" applyAlignment="1">
      <alignment horizontal="centerContinuous" vertical="center"/>
    </xf>
    <xf numFmtId="0" fontId="23" fillId="4" borderId="4" xfId="10" quotePrefix="1" applyFont="1" applyFill="1" applyBorder="1" applyAlignment="1">
      <alignment horizontal="center" vertical="center" wrapText="1"/>
    </xf>
    <xf numFmtId="0" fontId="23" fillId="4" borderId="4" xfId="10" applyFont="1" applyFill="1" applyBorder="1" applyAlignment="1">
      <alignment horizontal="left" vertical="center" wrapText="1"/>
    </xf>
    <xf numFmtId="0" fontId="23" fillId="4" borderId="4" xfId="10" applyFont="1" applyFill="1" applyBorder="1" applyAlignment="1">
      <alignment horizontal="center" vertical="center"/>
    </xf>
    <xf numFmtId="0" fontId="18" fillId="4" borderId="4" xfId="14" applyFont="1" applyFill="1" applyBorder="1">
      <alignment vertical="center"/>
    </xf>
    <xf numFmtId="0" fontId="18" fillId="4" borderId="4" xfId="10" applyFont="1" applyFill="1" applyBorder="1" applyAlignment="1">
      <alignment horizontal="center" vertical="center"/>
    </xf>
    <xf numFmtId="0" fontId="18" fillId="4" borderId="4" xfId="10" applyFont="1" applyFill="1" applyBorder="1" applyAlignment="1">
      <alignment vertical="center" wrapText="1"/>
    </xf>
    <xf numFmtId="0" fontId="23" fillId="4" borderId="4" xfId="10" applyFont="1" applyFill="1" applyBorder="1" applyAlignment="1">
      <alignment vertical="center" wrapText="1"/>
    </xf>
    <xf numFmtId="0" fontId="18" fillId="4" borderId="4" xfId="10" applyFont="1" applyFill="1" applyBorder="1" applyAlignment="1">
      <alignment vertical="center"/>
    </xf>
    <xf numFmtId="0" fontId="23" fillId="4" borderId="0" xfId="10" applyFont="1" applyFill="1" applyAlignment="1">
      <alignment vertical="center"/>
    </xf>
    <xf numFmtId="0" fontId="18" fillId="4" borderId="0" xfId="10" applyFont="1" applyFill="1" applyAlignment="1">
      <alignment vertical="center"/>
    </xf>
    <xf numFmtId="167" fontId="18" fillId="0" borderId="0" xfId="10" applyNumberFormat="1" applyFont="1" applyAlignment="1">
      <alignment vertical="center"/>
    </xf>
    <xf numFmtId="0" fontId="23" fillId="0" borderId="0" xfId="14" applyFont="1" applyAlignment="1">
      <alignment horizontal="left" vertical="center" wrapText="1"/>
    </xf>
    <xf numFmtId="0" fontId="18" fillId="0" borderId="0" xfId="0" applyFont="1" applyAlignment="1">
      <alignment vertical="center"/>
    </xf>
    <xf numFmtId="0" fontId="23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23" fillId="0" borderId="4" xfId="0" applyFont="1" applyBorder="1" applyAlignment="1">
      <alignment vertical="center"/>
    </xf>
    <xf numFmtId="0" fontId="18" fillId="0" borderId="4" xfId="0" applyFont="1" applyBorder="1" applyAlignment="1">
      <alignment vertical="center" wrapText="1"/>
    </xf>
    <xf numFmtId="0" fontId="25" fillId="0" borderId="4" xfId="0" applyFont="1" applyBorder="1" applyAlignment="1">
      <alignment vertical="center"/>
    </xf>
    <xf numFmtId="0" fontId="25" fillId="0" borderId="7" xfId="0" applyFont="1" applyBorder="1" applyAlignment="1">
      <alignment vertical="center"/>
    </xf>
    <xf numFmtId="0" fontId="26" fillId="0" borderId="4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7" fillId="0" borderId="0" xfId="10" applyFont="1" applyAlignment="1">
      <alignment vertical="center"/>
    </xf>
    <xf numFmtId="16" fontId="23" fillId="0" borderId="4" xfId="10" applyNumberFormat="1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8" xfId="0" applyFont="1" applyBorder="1" applyAlignment="1">
      <alignment vertical="center" wrapText="1"/>
    </xf>
    <xf numFmtId="2" fontId="18" fillId="0" borderId="4" xfId="0" applyNumberFormat="1" applyFont="1" applyBorder="1" applyAlignment="1">
      <alignment vertical="center"/>
    </xf>
    <xf numFmtId="0" fontId="18" fillId="0" borderId="4" xfId="0" applyFont="1" applyBorder="1" applyAlignment="1">
      <alignment horizontal="center" vertical="center" wrapText="1"/>
    </xf>
    <xf numFmtId="1" fontId="18" fillId="0" borderId="4" xfId="0" applyNumberFormat="1" applyFont="1" applyBorder="1" applyAlignment="1">
      <alignment vertical="center"/>
    </xf>
    <xf numFmtId="0" fontId="23" fillId="0" borderId="9" xfId="0" applyFont="1" applyBorder="1" applyAlignment="1">
      <alignment vertical="center" wrapText="1"/>
    </xf>
    <xf numFmtId="2" fontId="23" fillId="0" borderId="4" xfId="0" applyNumberFormat="1" applyFont="1" applyBorder="1" applyAlignment="1">
      <alignment vertical="center"/>
    </xf>
    <xf numFmtId="0" fontId="23" fillId="0" borderId="4" xfId="0" applyFont="1" applyBorder="1" applyAlignment="1">
      <alignment vertical="center" wrapText="1"/>
    </xf>
    <xf numFmtId="2" fontId="18" fillId="0" borderId="4" xfId="10" applyNumberFormat="1" applyFont="1" applyBorder="1" applyAlignment="1">
      <alignment horizontal="center" vertical="center"/>
    </xf>
    <xf numFmtId="2" fontId="23" fillId="6" borderId="4" xfId="0" applyNumberFormat="1" applyFont="1" applyFill="1" applyBorder="1" applyAlignment="1">
      <alignment vertical="center"/>
    </xf>
    <xf numFmtId="2" fontId="23" fillId="6" borderId="4" xfId="14" applyNumberFormat="1" applyFont="1" applyFill="1" applyBorder="1">
      <alignment vertical="center"/>
    </xf>
    <xf numFmtId="2" fontId="23" fillId="6" borderId="4" xfId="10" applyNumberFormat="1" applyFont="1" applyFill="1" applyBorder="1" applyAlignment="1">
      <alignment vertical="center"/>
    </xf>
    <xf numFmtId="0" fontId="23" fillId="0" borderId="9" xfId="14" applyFont="1" applyBorder="1">
      <alignment vertical="center"/>
    </xf>
    <xf numFmtId="2" fontId="23" fillId="6" borderId="9" xfId="14" applyNumberFormat="1" applyFont="1" applyFill="1" applyBorder="1">
      <alignment vertical="center"/>
    </xf>
    <xf numFmtId="10" fontId="18" fillId="0" borderId="9" xfId="14" applyNumberFormat="1" applyFont="1" applyBorder="1">
      <alignment vertical="center"/>
    </xf>
    <xf numFmtId="2" fontId="18" fillId="0" borderId="9" xfId="14" applyNumberFormat="1" applyFont="1" applyBorder="1">
      <alignment vertical="center"/>
    </xf>
    <xf numFmtId="2" fontId="18" fillId="0" borderId="4" xfId="10" applyNumberFormat="1" applyFont="1" applyBorder="1" applyAlignment="1">
      <alignment vertical="center"/>
    </xf>
    <xf numFmtId="2" fontId="18" fillId="0" borderId="4" xfId="14" applyNumberFormat="1" applyFont="1" applyBorder="1" applyAlignment="1">
      <alignment horizontal="center" vertical="center"/>
    </xf>
    <xf numFmtId="2" fontId="23" fillId="6" borderId="4" xfId="14" applyNumberFormat="1" applyFont="1" applyFill="1" applyBorder="1" applyAlignment="1">
      <alignment horizontal="center" vertical="center"/>
    </xf>
    <xf numFmtId="10" fontId="23" fillId="6" borderId="4" xfId="14" applyNumberFormat="1" applyFont="1" applyFill="1" applyBorder="1">
      <alignment vertical="center"/>
    </xf>
    <xf numFmtId="2" fontId="23" fillId="6" borderId="4" xfId="10" applyNumberFormat="1" applyFont="1" applyFill="1" applyBorder="1"/>
    <xf numFmtId="2" fontId="18" fillId="0" borderId="4" xfId="10" applyNumberFormat="1" applyFont="1" applyBorder="1" applyAlignment="1">
      <alignment horizontal="right" vertical="center"/>
    </xf>
    <xf numFmtId="2" fontId="23" fillId="0" borderId="4" xfId="14" applyNumberFormat="1" applyFont="1" applyBorder="1" applyAlignment="1">
      <alignment horizontal="center" vertical="center"/>
    </xf>
    <xf numFmtId="2" fontId="23" fillId="5" borderId="4" xfId="14" applyNumberFormat="1" applyFont="1" applyFill="1" applyBorder="1" applyAlignment="1">
      <alignment horizontal="center" vertical="center"/>
    </xf>
    <xf numFmtId="0" fontId="18" fillId="0" borderId="4" xfId="14" applyFont="1" applyBorder="1" applyAlignment="1">
      <alignment horizontal="right" vertical="center"/>
    </xf>
    <xf numFmtId="2" fontId="23" fillId="0" borderId="4" xfId="10" applyNumberFormat="1" applyFont="1" applyBorder="1" applyAlignment="1">
      <alignment vertical="center"/>
    </xf>
    <xf numFmtId="2" fontId="18" fillId="0" borderId="4" xfId="14" applyNumberFormat="1" applyFont="1" applyBorder="1" applyAlignment="1">
      <alignment horizontal="right" vertical="center"/>
    </xf>
    <xf numFmtId="2" fontId="18" fillId="0" borderId="4" xfId="10" applyNumberFormat="1" applyFont="1" applyBorder="1" applyAlignment="1">
      <alignment horizontal="right" vertical="center" wrapText="1"/>
    </xf>
    <xf numFmtId="0" fontId="18" fillId="0" borderId="9" xfId="14" applyFont="1" applyBorder="1" applyAlignment="1">
      <alignment horizontal="right" vertical="center"/>
    </xf>
    <xf numFmtId="2" fontId="23" fillId="6" borderId="9" xfId="14" applyNumberFormat="1" applyFont="1" applyFill="1" applyBorder="1" applyAlignment="1">
      <alignment horizontal="right" vertical="center"/>
    </xf>
    <xf numFmtId="2" fontId="18" fillId="6" borderId="9" xfId="14" applyNumberFormat="1" applyFont="1" applyFill="1" applyBorder="1">
      <alignment vertical="center"/>
    </xf>
    <xf numFmtId="0" fontId="23" fillId="0" borderId="3" xfId="14" applyFont="1" applyBorder="1" applyAlignment="1">
      <alignment horizontal="center" vertical="center" wrapText="1"/>
    </xf>
    <xf numFmtId="2" fontId="23" fillId="0" borderId="4" xfId="10" applyNumberFormat="1" applyFont="1" applyBorder="1" applyAlignment="1">
      <alignment vertical="top" wrapText="1"/>
    </xf>
    <xf numFmtId="170" fontId="23" fillId="6" borderId="4" xfId="0" applyNumberFormat="1" applyFont="1" applyFill="1" applyBorder="1" applyAlignment="1">
      <alignment vertical="center"/>
    </xf>
    <xf numFmtId="170" fontId="18" fillId="0" borderId="4" xfId="0" applyNumberFormat="1" applyFont="1" applyBorder="1" applyAlignment="1">
      <alignment vertical="center"/>
    </xf>
    <xf numFmtId="170" fontId="23" fillId="6" borderId="4" xfId="14" applyNumberFormat="1" applyFont="1" applyFill="1" applyBorder="1" applyAlignment="1">
      <alignment horizontal="center" vertical="center"/>
    </xf>
    <xf numFmtId="10" fontId="18" fillId="0" borderId="0" xfId="14" applyNumberFormat="1" applyFont="1">
      <alignment vertical="center"/>
    </xf>
    <xf numFmtId="2" fontId="18" fillId="0" borderId="9" xfId="14" applyNumberFormat="1" applyFont="1" applyBorder="1" applyAlignment="1">
      <alignment horizontal="right" vertical="center"/>
    </xf>
    <xf numFmtId="2" fontId="18" fillId="6" borderId="4" xfId="10" applyNumberFormat="1" applyFont="1" applyFill="1" applyBorder="1" applyAlignment="1">
      <alignment horizontal="right" vertical="center"/>
    </xf>
    <xf numFmtId="2" fontId="18" fillId="6" borderId="4" xfId="10" applyNumberFormat="1" applyFont="1" applyFill="1" applyBorder="1" applyAlignment="1">
      <alignment horizontal="right" vertical="center" wrapText="1"/>
    </xf>
    <xf numFmtId="2" fontId="23" fillId="6" borderId="4" xfId="10" applyNumberFormat="1" applyFont="1" applyFill="1" applyBorder="1" applyAlignment="1">
      <alignment horizontal="right" vertical="center"/>
    </xf>
    <xf numFmtId="2" fontId="18" fillId="0" borderId="0" xfId="14" applyNumberFormat="1" applyFont="1">
      <alignment vertical="center"/>
    </xf>
    <xf numFmtId="171" fontId="18" fillId="0" borderId="0" xfId="14" applyNumberFormat="1" applyFont="1">
      <alignment vertical="center"/>
    </xf>
    <xf numFmtId="1" fontId="18" fillId="0" borderId="0" xfId="14" applyNumberFormat="1" applyFont="1">
      <alignment vertical="center"/>
    </xf>
    <xf numFmtId="4" fontId="18" fillId="0" borderId="0" xfId="10" applyNumberFormat="1" applyFont="1" applyAlignment="1">
      <alignment vertical="center"/>
    </xf>
    <xf numFmtId="0" fontId="25" fillId="0" borderId="4" xfId="0" applyFont="1" applyBorder="1"/>
    <xf numFmtId="0" fontId="18" fillId="0" borderId="4" xfId="0" applyFont="1" applyBorder="1" applyAlignment="1">
      <alignment wrapText="1"/>
    </xf>
    <xf numFmtId="0" fontId="18" fillId="0" borderId="4" xfId="0" applyFont="1" applyBorder="1"/>
    <xf numFmtId="43" fontId="18" fillId="0" borderId="4" xfId="70" applyFont="1" applyBorder="1"/>
    <xf numFmtId="43" fontId="25" fillId="0" borderId="4" xfId="70" applyFont="1" applyBorder="1"/>
    <xf numFmtId="10" fontId="25" fillId="0" borderId="4" xfId="0" applyNumberFormat="1" applyFont="1" applyBorder="1"/>
    <xf numFmtId="0" fontId="25" fillId="0" borderId="4" xfId="0" applyFont="1" applyBorder="1" applyAlignment="1">
      <alignment wrapText="1"/>
    </xf>
    <xf numFmtId="169" fontId="18" fillId="0" borderId="0" xfId="10" applyNumberFormat="1" applyFont="1" applyAlignment="1">
      <alignment vertical="center"/>
    </xf>
    <xf numFmtId="43" fontId="18" fillId="0" borderId="4" xfId="70" applyFont="1" applyBorder="1" applyAlignment="1">
      <alignment horizontal="center" vertical="center"/>
    </xf>
    <xf numFmtId="43" fontId="18" fillId="0" borderId="4" xfId="70" applyFont="1" applyBorder="1" applyAlignment="1">
      <alignment vertical="center"/>
    </xf>
    <xf numFmtId="43" fontId="0" fillId="0" borderId="4" xfId="70" applyFont="1" applyBorder="1"/>
    <xf numFmtId="2" fontId="23" fillId="0" borderId="4" xfId="10" applyNumberFormat="1" applyFont="1" applyBorder="1" applyAlignment="1">
      <alignment horizontal="right" vertical="center"/>
    </xf>
    <xf numFmtId="0" fontId="31" fillId="0" borderId="8" xfId="10" applyFont="1" applyBorder="1" applyAlignment="1">
      <alignment horizontal="center" vertical="center" wrapText="1"/>
    </xf>
    <xf numFmtId="0" fontId="31" fillId="0" borderId="4" xfId="10" applyFont="1" applyBorder="1" applyAlignment="1">
      <alignment vertical="center" wrapText="1"/>
    </xf>
    <xf numFmtId="0" fontId="31" fillId="0" borderId="4" xfId="10" applyFont="1" applyBorder="1" applyAlignment="1">
      <alignment horizontal="center" vertical="center" wrapText="1"/>
    </xf>
    <xf numFmtId="0" fontId="23" fillId="0" borderId="18" xfId="10" applyFont="1" applyBorder="1" applyAlignment="1">
      <alignment vertical="center" wrapText="1"/>
    </xf>
    <xf numFmtId="2" fontId="23" fillId="6" borderId="18" xfId="14" applyNumberFormat="1" applyFont="1" applyFill="1" applyBorder="1" applyAlignment="1">
      <alignment horizontal="center" vertical="center"/>
    </xf>
    <xf numFmtId="2" fontId="18" fillId="0" borderId="0" xfId="10" applyNumberFormat="1" applyFont="1" applyAlignment="1">
      <alignment horizontal="left" vertical="center"/>
    </xf>
    <xf numFmtId="10" fontId="23" fillId="6" borderId="13" xfId="67" applyNumberFormat="1" applyFont="1" applyFill="1" applyBorder="1" applyAlignment="1">
      <alignment horizontal="right" vertical="center"/>
    </xf>
    <xf numFmtId="43" fontId="18" fillId="0" borderId="0" xfId="10" applyNumberFormat="1" applyFont="1" applyAlignment="1">
      <alignment vertical="center"/>
    </xf>
    <xf numFmtId="0" fontId="18" fillId="4" borderId="12" xfId="67" applyFont="1" applyFill="1" applyBorder="1" applyAlignment="1">
      <alignment horizontal="right" vertical="center"/>
    </xf>
    <xf numFmtId="0" fontId="23" fillId="4" borderId="13" xfId="67" applyFont="1" applyFill="1" applyBorder="1" applyAlignment="1">
      <alignment horizontal="right" vertical="center"/>
    </xf>
    <xf numFmtId="0" fontId="10" fillId="0" borderId="4" xfId="14" applyFont="1" applyBorder="1" applyAlignment="1">
      <alignment vertical="center" wrapText="1"/>
    </xf>
    <xf numFmtId="2" fontId="18" fillId="0" borderId="0" xfId="10" applyNumberFormat="1" applyFont="1" applyAlignment="1">
      <alignment vertical="center"/>
    </xf>
    <xf numFmtId="176" fontId="18" fillId="0" borderId="9" xfId="38" applyNumberFormat="1" applyFont="1" applyBorder="1" applyAlignment="1">
      <alignment vertical="center"/>
    </xf>
    <xf numFmtId="176" fontId="18" fillId="0" borderId="9" xfId="14" applyNumberFormat="1" applyFont="1" applyBorder="1">
      <alignment vertical="center"/>
    </xf>
    <xf numFmtId="176" fontId="23" fillId="6" borderId="9" xfId="14" applyNumberFormat="1" applyFont="1" applyFill="1" applyBorder="1">
      <alignment vertical="center"/>
    </xf>
    <xf numFmtId="0" fontId="0" fillId="0" borderId="18" xfId="0" applyBorder="1"/>
    <xf numFmtId="0" fontId="18" fillId="0" borderId="18" xfId="10" applyFont="1" applyBorder="1" applyAlignment="1">
      <alignment horizontal="center" vertical="center"/>
    </xf>
    <xf numFmtId="0" fontId="23" fillId="0" borderId="18" xfId="1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32" fillId="0" borderId="18" xfId="0" applyFont="1" applyBorder="1" applyAlignment="1">
      <alignment horizontal="center"/>
    </xf>
    <xf numFmtId="10" fontId="0" fillId="0" borderId="18" xfId="0" applyNumberFormat="1" applyBorder="1" applyAlignment="1">
      <alignment horizontal="center"/>
    </xf>
    <xf numFmtId="10" fontId="32" fillId="0" borderId="18" xfId="0" applyNumberFormat="1" applyFont="1" applyBorder="1" applyAlignment="1">
      <alignment horizontal="center"/>
    </xf>
    <xf numFmtId="9" fontId="0" fillId="0" borderId="18" xfId="0" applyNumberFormat="1" applyBorder="1" applyAlignment="1">
      <alignment horizontal="center"/>
    </xf>
    <xf numFmtId="0" fontId="23" fillId="0" borderId="8" xfId="14" applyFont="1" applyBorder="1" applyAlignment="1">
      <alignment horizontal="center" vertical="center" wrapText="1"/>
    </xf>
    <xf numFmtId="0" fontId="23" fillId="0" borderId="10" xfId="14" applyFont="1" applyBorder="1" applyAlignment="1">
      <alignment horizontal="center" vertical="center" wrapText="1"/>
    </xf>
    <xf numFmtId="0" fontId="18" fillId="0" borderId="7" xfId="10" applyFont="1" applyBorder="1" applyAlignment="1">
      <alignment horizontal="center" vertical="center" wrapText="1"/>
    </xf>
    <xf numFmtId="0" fontId="23" fillId="0" borderId="9" xfId="14" applyFont="1" applyBorder="1" applyAlignment="1">
      <alignment horizontal="center" vertical="center" wrapText="1"/>
    </xf>
    <xf numFmtId="0" fontId="23" fillId="0" borderId="8" xfId="10" applyFont="1" applyBorder="1" applyAlignment="1">
      <alignment horizontal="center" vertical="center" wrapText="1"/>
    </xf>
    <xf numFmtId="0" fontId="23" fillId="0" borderId="10" xfId="10" applyFont="1" applyBorder="1" applyAlignment="1">
      <alignment horizontal="center" vertical="center" wrapText="1"/>
    </xf>
    <xf numFmtId="0" fontId="11" fillId="0" borderId="4" xfId="10" applyBorder="1" applyAlignment="1">
      <alignment horizontal="center" vertical="center" wrapText="1"/>
    </xf>
    <xf numFmtId="0" fontId="11" fillId="0" borderId="4" xfId="10" applyBorder="1" applyAlignment="1">
      <alignment horizontal="center" vertical="center"/>
    </xf>
    <xf numFmtId="0" fontId="23" fillId="0" borderId="0" xfId="10" applyFont="1" applyAlignment="1">
      <alignment horizontal="center"/>
    </xf>
    <xf numFmtId="0" fontId="23" fillId="0" borderId="18" xfId="14" applyFont="1" applyBorder="1" applyAlignment="1">
      <alignment horizontal="center" vertical="center" wrapText="1"/>
    </xf>
    <xf numFmtId="43" fontId="18" fillId="0" borderId="18" xfId="14" applyNumberFormat="1" applyFont="1" applyBorder="1">
      <alignment vertical="center"/>
    </xf>
    <xf numFmtId="43" fontId="18" fillId="0" borderId="18" xfId="70" applyFont="1" applyBorder="1" applyAlignment="1">
      <alignment horizontal="center" vertical="center"/>
    </xf>
    <xf numFmtId="43" fontId="18" fillId="0" borderId="18" xfId="70" applyFont="1" applyBorder="1" applyAlignment="1">
      <alignment vertical="center"/>
    </xf>
    <xf numFmtId="43" fontId="25" fillId="0" borderId="18" xfId="459" applyFont="1" applyBorder="1"/>
    <xf numFmtId="2" fontId="34" fillId="0" borderId="18" xfId="10" applyNumberFormat="1" applyFont="1" applyBorder="1" applyAlignment="1">
      <alignment horizontal="center" vertical="center"/>
    </xf>
    <xf numFmtId="170" fontId="34" fillId="0" borderId="18" xfId="10" applyNumberFormat="1" applyFont="1" applyBorder="1" applyAlignment="1">
      <alignment horizontal="right" vertical="center"/>
    </xf>
    <xf numFmtId="2" fontId="34" fillId="0" borderId="18" xfId="10" applyNumberFormat="1" applyFont="1" applyBorder="1" applyAlignment="1">
      <alignment horizontal="right" vertical="center"/>
    </xf>
    <xf numFmtId="2" fontId="35" fillId="0" borderId="18" xfId="10" applyNumberFormat="1" applyFont="1" applyBorder="1" applyAlignment="1">
      <alignment horizontal="right" vertical="center"/>
    </xf>
    <xf numFmtId="0" fontId="23" fillId="0" borderId="18" xfId="0" applyFont="1" applyBorder="1" applyAlignment="1">
      <alignment horizontal="center" vertical="center"/>
    </xf>
    <xf numFmtId="0" fontId="23" fillId="0" borderId="18" xfId="0" applyFont="1" applyBorder="1" applyAlignment="1">
      <alignment vertical="center"/>
    </xf>
    <xf numFmtId="0" fontId="18" fillId="0" borderId="18" xfId="0" applyFont="1" applyBorder="1" applyAlignment="1">
      <alignment horizontal="center" vertical="center"/>
    </xf>
    <xf numFmtId="0" fontId="18" fillId="0" borderId="18" xfId="0" applyFont="1" applyBorder="1" applyAlignment="1">
      <alignment vertical="center"/>
    </xf>
    <xf numFmtId="0" fontId="11" fillId="0" borderId="18" xfId="0" applyFont="1" applyBorder="1" applyAlignment="1">
      <alignment horizontal="center" vertical="center"/>
    </xf>
    <xf numFmtId="1" fontId="11" fillId="0" borderId="18" xfId="0" applyNumberFormat="1" applyFont="1" applyBorder="1" applyAlignment="1">
      <alignment vertical="center"/>
    </xf>
    <xf numFmtId="2" fontId="11" fillId="0" borderId="18" xfId="0" applyNumberFormat="1" applyFont="1" applyBorder="1" applyAlignment="1">
      <alignment vertical="center"/>
    </xf>
    <xf numFmtId="0" fontId="11" fillId="0" borderId="18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2" fontId="0" fillId="0" borderId="18" xfId="0" applyNumberFormat="1" applyBorder="1" applyAlignment="1">
      <alignment horizont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vertical="center"/>
    </xf>
    <xf numFmtId="0" fontId="11" fillId="0" borderId="13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3" fillId="6" borderId="18" xfId="0" applyFont="1" applyFill="1" applyBorder="1" applyAlignment="1">
      <alignment vertical="center"/>
    </xf>
    <xf numFmtId="2" fontId="23" fillId="6" borderId="18" xfId="0" applyNumberFormat="1" applyFont="1" applyFill="1" applyBorder="1" applyAlignment="1">
      <alignment vertical="center"/>
    </xf>
    <xf numFmtId="0" fontId="18" fillId="0" borderId="18" xfId="0" applyFont="1" applyBorder="1" applyAlignment="1">
      <alignment vertical="center" wrapText="1"/>
    </xf>
    <xf numFmtId="170" fontId="11" fillId="0" borderId="18" xfId="0" applyNumberFormat="1" applyFont="1" applyBorder="1" applyAlignment="1">
      <alignment vertical="center"/>
    </xf>
    <xf numFmtId="0" fontId="10" fillId="0" borderId="18" xfId="0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center" vertical="center"/>
    </xf>
    <xf numFmtId="1" fontId="0" fillId="0" borderId="18" xfId="0" applyNumberFormat="1" applyBorder="1"/>
    <xf numFmtId="2" fontId="0" fillId="0" borderId="18" xfId="0" applyNumberFormat="1" applyBorder="1"/>
    <xf numFmtId="0" fontId="18" fillId="0" borderId="0" xfId="14" applyFont="1" applyAlignment="1">
      <alignment horizontal="centerContinuous" vertical="center"/>
    </xf>
    <xf numFmtId="0" fontId="23" fillId="0" borderId="18" xfId="14" applyFont="1" applyBorder="1" applyAlignment="1">
      <alignment horizontal="left" vertical="center" wrapText="1"/>
    </xf>
    <xf numFmtId="0" fontId="18" fillId="0" borderId="18" xfId="14" quotePrefix="1" applyFont="1" applyBorder="1" applyAlignment="1">
      <alignment horizontal="center" vertical="center" wrapText="1"/>
    </xf>
    <xf numFmtId="0" fontId="18" fillId="0" borderId="18" xfId="10" applyFont="1" applyBorder="1" applyAlignment="1">
      <alignment vertical="center"/>
    </xf>
    <xf numFmtId="0" fontId="18" fillId="0" borderId="18" xfId="14" applyFont="1" applyBorder="1" applyAlignment="1">
      <alignment horizontal="center" vertical="center" wrapText="1"/>
    </xf>
    <xf numFmtId="0" fontId="18" fillId="0" borderId="18" xfId="14" applyFont="1" applyBorder="1" applyAlignment="1">
      <alignment horizontal="left" vertical="center" wrapText="1"/>
    </xf>
    <xf numFmtId="2" fontId="37" fillId="0" borderId="18" xfId="0" applyNumberFormat="1" applyFont="1" applyBorder="1"/>
    <xf numFmtId="0" fontId="18" fillId="0" borderId="18" xfId="14" applyFont="1" applyBorder="1" applyAlignment="1">
      <alignment vertical="center" wrapText="1"/>
    </xf>
    <xf numFmtId="0" fontId="23" fillId="0" borderId="18" xfId="14" applyFont="1" applyBorder="1" applyAlignment="1">
      <alignment vertical="center" wrapText="1"/>
    </xf>
    <xf numFmtId="0" fontId="18" fillId="0" borderId="0" xfId="14" quotePrefix="1" applyFont="1" applyAlignment="1">
      <alignment horizontal="center" vertical="center" wrapText="1"/>
    </xf>
    <xf numFmtId="0" fontId="18" fillId="0" borderId="0" xfId="10" applyFont="1" applyAlignment="1">
      <alignment horizontal="center" vertical="center" wrapText="1"/>
    </xf>
    <xf numFmtId="0" fontId="38" fillId="0" borderId="0" xfId="10" applyFont="1" applyAlignment="1">
      <alignment horizontal="left" vertical="center"/>
    </xf>
    <xf numFmtId="0" fontId="18" fillId="0" borderId="0" xfId="10" applyFont="1" applyAlignment="1">
      <alignment horizontal="justify" vertical="center" wrapText="1"/>
    </xf>
    <xf numFmtId="43" fontId="1" fillId="0" borderId="18" xfId="70" applyFont="1" applyBorder="1"/>
    <xf numFmtId="43" fontId="23" fillId="6" borderId="18" xfId="459" applyFont="1" applyFill="1" applyBorder="1"/>
    <xf numFmtId="0" fontId="23" fillId="7" borderId="18" xfId="10" applyFont="1" applyFill="1" applyBorder="1" applyAlignment="1">
      <alignment vertical="center"/>
    </xf>
    <xf numFmtId="0" fontId="23" fillId="0" borderId="18" xfId="0" applyFont="1" applyBorder="1" applyAlignment="1">
      <alignment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170" fontId="35" fillId="0" borderId="18" xfId="10" applyNumberFormat="1" applyFont="1" applyBorder="1" applyAlignment="1">
      <alignment horizontal="right" vertical="center"/>
    </xf>
    <xf numFmtId="177" fontId="35" fillId="0" borderId="18" xfId="10" applyNumberFormat="1" applyFont="1" applyBorder="1" applyAlignment="1">
      <alignment horizontal="right" vertical="center"/>
    </xf>
    <xf numFmtId="0" fontId="23" fillId="0" borderId="8" xfId="0" applyFont="1" applyBorder="1" applyAlignment="1">
      <alignment horizontal="right" vertical="center"/>
    </xf>
    <xf numFmtId="16" fontId="35" fillId="0" borderId="18" xfId="10" applyNumberFormat="1" applyFont="1" applyBorder="1" applyAlignment="1">
      <alignment horizontal="center" vertical="center" wrapText="1"/>
    </xf>
    <xf numFmtId="0" fontId="15" fillId="0" borderId="0" xfId="14" applyFont="1" applyAlignment="1">
      <alignment horizontal="center" vertical="center"/>
    </xf>
    <xf numFmtId="0" fontId="10" fillId="0" borderId="0" xfId="10" applyFont="1" applyAlignment="1">
      <alignment horizontal="center" vertical="center"/>
    </xf>
    <xf numFmtId="0" fontId="15" fillId="0" borderId="0" xfId="10" applyFont="1" applyAlignment="1">
      <alignment horizontal="center" vertical="center" wrapText="1"/>
    </xf>
    <xf numFmtId="0" fontId="10" fillId="0" borderId="0" xfId="10" applyFont="1" applyAlignment="1">
      <alignment horizontal="center" vertical="center" wrapText="1"/>
    </xf>
    <xf numFmtId="0" fontId="23" fillId="0" borderId="0" xfId="10" applyFont="1" applyAlignment="1">
      <alignment horizontal="center" vertical="center"/>
    </xf>
    <xf numFmtId="0" fontId="23" fillId="0" borderId="8" xfId="14" applyFont="1" applyBorder="1" applyAlignment="1">
      <alignment horizontal="center" vertical="center"/>
    </xf>
    <xf numFmtId="0" fontId="23" fillId="0" borderId="10" xfId="14" applyFont="1" applyBorder="1" applyAlignment="1">
      <alignment horizontal="center" vertical="center"/>
    </xf>
    <xf numFmtId="0" fontId="23" fillId="0" borderId="7" xfId="14" applyFont="1" applyBorder="1" applyAlignment="1">
      <alignment horizontal="center" vertical="center"/>
    </xf>
    <xf numFmtId="0" fontId="23" fillId="0" borderId="8" xfId="14" applyFont="1" applyBorder="1" applyAlignment="1">
      <alignment horizontal="center" vertical="center" wrapText="1"/>
    </xf>
    <xf numFmtId="0" fontId="23" fillId="0" borderId="10" xfId="14" applyFont="1" applyBorder="1" applyAlignment="1">
      <alignment horizontal="center" vertical="center" wrapText="1"/>
    </xf>
    <xf numFmtId="0" fontId="18" fillId="0" borderId="7" xfId="10" applyFont="1" applyBorder="1" applyAlignment="1">
      <alignment horizontal="center" vertical="center" wrapText="1"/>
    </xf>
    <xf numFmtId="0" fontId="23" fillId="0" borderId="4" xfId="14" applyFont="1" applyBorder="1" applyAlignment="1">
      <alignment horizontal="center" vertical="center"/>
    </xf>
    <xf numFmtId="0" fontId="18" fillId="0" borderId="4" xfId="10" applyFont="1" applyBorder="1" applyAlignment="1">
      <alignment horizontal="center" vertical="center"/>
    </xf>
    <xf numFmtId="0" fontId="23" fillId="0" borderId="4" xfId="14" applyFont="1" applyBorder="1" applyAlignment="1">
      <alignment horizontal="center" vertical="center" wrapText="1"/>
    </xf>
    <xf numFmtId="0" fontId="18" fillId="0" borderId="4" xfId="10" applyFont="1" applyBorder="1" applyAlignment="1">
      <alignment horizontal="center" vertical="center" wrapText="1"/>
    </xf>
    <xf numFmtId="0" fontId="23" fillId="0" borderId="6" xfId="14" applyFont="1" applyBorder="1" applyAlignment="1">
      <alignment horizontal="center" vertical="center" wrapText="1"/>
    </xf>
    <xf numFmtId="0" fontId="23" fillId="0" borderId="3" xfId="14" applyFont="1" applyBorder="1" applyAlignment="1">
      <alignment horizontal="center" vertical="center" wrapText="1"/>
    </xf>
    <xf numFmtId="0" fontId="23" fillId="0" borderId="9" xfId="14" applyFont="1" applyBorder="1" applyAlignment="1">
      <alignment horizontal="center" vertical="center" wrapText="1"/>
    </xf>
    <xf numFmtId="0" fontId="23" fillId="0" borderId="19" xfId="14" applyFont="1" applyBorder="1" applyAlignment="1">
      <alignment horizontal="right" vertical="center"/>
    </xf>
    <xf numFmtId="0" fontId="23" fillId="4" borderId="4" xfId="67" applyFont="1" applyFill="1" applyBorder="1" applyAlignment="1">
      <alignment horizontal="center" vertical="center" wrapText="1"/>
    </xf>
    <xf numFmtId="0" fontId="23" fillId="4" borderId="11" xfId="67" applyFont="1" applyFill="1" applyBorder="1" applyAlignment="1">
      <alignment horizontal="center" vertical="center" wrapText="1"/>
    </xf>
    <xf numFmtId="0" fontId="23" fillId="4" borderId="15" xfId="67" applyFont="1" applyFill="1" applyBorder="1" applyAlignment="1">
      <alignment horizontal="center" vertical="center"/>
    </xf>
    <xf numFmtId="0" fontId="23" fillId="4" borderId="16" xfId="67" applyFont="1" applyFill="1" applyBorder="1" applyAlignment="1">
      <alignment horizontal="center" vertical="center"/>
    </xf>
    <xf numFmtId="0" fontId="23" fillId="4" borderId="17" xfId="67" applyFont="1" applyFill="1" applyBorder="1" applyAlignment="1">
      <alignment horizontal="center" vertical="center"/>
    </xf>
    <xf numFmtId="0" fontId="23" fillId="4" borderId="5" xfId="67" applyFont="1" applyFill="1" applyBorder="1" applyAlignment="1">
      <alignment horizontal="center" vertical="center" wrapText="1"/>
    </xf>
    <xf numFmtId="0" fontId="23" fillId="4" borderId="12" xfId="67" applyFont="1" applyFill="1" applyBorder="1" applyAlignment="1">
      <alignment horizontal="center" vertical="center" wrapText="1"/>
    </xf>
    <xf numFmtId="0" fontId="23" fillId="4" borderId="4" xfId="67" quotePrefix="1" applyFont="1" applyFill="1" applyBorder="1" applyAlignment="1">
      <alignment horizontal="center" vertical="center" wrapText="1"/>
    </xf>
    <xf numFmtId="0" fontId="23" fillId="4" borderId="13" xfId="67" quotePrefix="1" applyFont="1" applyFill="1" applyBorder="1" applyAlignment="1">
      <alignment horizontal="center" vertical="center" wrapText="1"/>
    </xf>
    <xf numFmtId="0" fontId="23" fillId="4" borderId="13" xfId="67" applyFont="1" applyFill="1" applyBorder="1" applyAlignment="1">
      <alignment horizontal="center" vertical="center" wrapText="1"/>
    </xf>
    <xf numFmtId="0" fontId="18" fillId="0" borderId="0" xfId="10" applyFont="1" applyAlignment="1">
      <alignment horizontal="left" vertical="center" wrapText="1"/>
    </xf>
    <xf numFmtId="0" fontId="23" fillId="0" borderId="18" xfId="14" applyFont="1" applyBorder="1" applyAlignment="1">
      <alignment horizontal="center" vertical="center" wrapText="1"/>
    </xf>
    <xf numFmtId="0" fontId="18" fillId="0" borderId="18" xfId="10" applyFont="1" applyBorder="1" applyAlignment="1">
      <alignment horizontal="center" vertical="center" wrapText="1"/>
    </xf>
    <xf numFmtId="0" fontId="23" fillId="0" borderId="18" xfId="14" quotePrefix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23" fillId="0" borderId="18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 wrapText="1"/>
    </xf>
    <xf numFmtId="1" fontId="11" fillId="0" borderId="6" xfId="0" applyNumberFormat="1" applyFont="1" applyBorder="1" applyAlignment="1">
      <alignment horizontal="left" vertical="center"/>
    </xf>
    <xf numFmtId="1" fontId="11" fillId="0" borderId="3" xfId="0" applyNumberFormat="1" applyFont="1" applyBorder="1" applyAlignment="1">
      <alignment horizontal="left" vertical="center"/>
    </xf>
    <xf numFmtId="2" fontId="0" fillId="0" borderId="6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36" fillId="0" borderId="0" xfId="14" applyFont="1" applyAlignment="1">
      <alignment horizontal="center" vertical="center"/>
    </xf>
    <xf numFmtId="0" fontId="36" fillId="0" borderId="0" xfId="10" applyFont="1" applyAlignment="1">
      <alignment horizontal="center" vertical="center"/>
    </xf>
    <xf numFmtId="17" fontId="23" fillId="0" borderId="6" xfId="0" applyNumberFormat="1" applyFont="1" applyBorder="1" applyAlignment="1">
      <alignment horizontal="center" vertical="center"/>
    </xf>
    <xf numFmtId="17" fontId="23" fillId="0" borderId="3" xfId="0" applyNumberFormat="1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39" fillId="0" borderId="18" xfId="14" applyFont="1" applyBorder="1" applyAlignment="1">
      <alignment horizontal="center" vertical="center" wrapText="1"/>
    </xf>
    <xf numFmtId="0" fontId="25" fillId="0" borderId="18" xfId="14" applyFont="1" applyBorder="1" applyAlignment="1">
      <alignment horizontal="center" vertical="center" wrapText="1"/>
    </xf>
    <xf numFmtId="2" fontId="18" fillId="0" borderId="18" xfId="14" applyNumberFormat="1" applyFont="1" applyBorder="1" applyAlignment="1">
      <alignment horizontal="center" vertical="center" wrapText="1"/>
    </xf>
    <xf numFmtId="1" fontId="18" fillId="0" borderId="18" xfId="14" applyNumberFormat="1" applyFont="1" applyBorder="1" applyAlignment="1">
      <alignment horizontal="center" vertical="center" wrapText="1"/>
    </xf>
  </cellXfs>
  <cellStyles count="464">
    <cellStyle name="Body" xfId="1"/>
    <cellStyle name="Comma" xfId="70" builtinId="3"/>
    <cellStyle name="Comma  - Style1" xfId="2"/>
    <cellStyle name="Comma 10" xfId="94"/>
    <cellStyle name="Comma 10 2" xfId="95"/>
    <cellStyle name="Comma 10 3" xfId="251"/>
    <cellStyle name="Comma 10 4" xfId="264"/>
    <cellStyle name="Comma 11" xfId="96"/>
    <cellStyle name="Comma 11 2" xfId="19"/>
    <cellStyle name="Comma 11 2 10" xfId="435"/>
    <cellStyle name="Comma 11 2 2" xfId="97"/>
    <cellStyle name="Comma 11 2 2 2" xfId="98"/>
    <cellStyle name="Comma 11 2 2 3" xfId="92"/>
    <cellStyle name="Comma 11 2 2 4" xfId="347"/>
    <cellStyle name="Comma 11 2 2 5" xfId="366"/>
    <cellStyle name="Comma 11 2 2 6" xfId="384"/>
    <cellStyle name="Comma 11 2 2 7" xfId="400"/>
    <cellStyle name="Comma 11 2 2 8" xfId="416"/>
    <cellStyle name="Comma 11 2 3" xfId="208"/>
    <cellStyle name="Comma 11 2 4" xfId="348"/>
    <cellStyle name="Comma 11 2 5" xfId="357"/>
    <cellStyle name="Comma 11 2 6" xfId="375"/>
    <cellStyle name="Comma 11 2 7" xfId="393"/>
    <cellStyle name="Comma 11 2 8" xfId="409"/>
    <cellStyle name="Comma 11 2 9" xfId="71"/>
    <cellStyle name="Comma 11 2_F2.1" xfId="462"/>
    <cellStyle name="Comma 12" xfId="99"/>
    <cellStyle name="Comma 13" xfId="100"/>
    <cellStyle name="Comma 14" xfId="101"/>
    <cellStyle name="Comma 15" xfId="102"/>
    <cellStyle name="Comma 15 2" xfId="103"/>
    <cellStyle name="Comma 15 2 2" xfId="104"/>
    <cellStyle name="Comma 15 2 2 2" xfId="105"/>
    <cellStyle name="Comma 15 2 2 3" xfId="248"/>
    <cellStyle name="Comma 15 2 2 4" xfId="261"/>
    <cellStyle name="Comma 15 2 3" xfId="106"/>
    <cellStyle name="Comma 15 2 4" xfId="107"/>
    <cellStyle name="Comma 15 2 5" xfId="108"/>
    <cellStyle name="Comma 15 2 6" xfId="109"/>
    <cellStyle name="Comma 15 2 7" xfId="110"/>
    <cellStyle name="Comma 15 2 8" xfId="111"/>
    <cellStyle name="Comma 15 3" xfId="112"/>
    <cellStyle name="Comma 15 4" xfId="113"/>
    <cellStyle name="Comma 15 5" xfId="114"/>
    <cellStyle name="Comma 15 6" xfId="115"/>
    <cellStyle name="Comma 15 7" xfId="116"/>
    <cellStyle name="Comma 15 8" xfId="117"/>
    <cellStyle name="Comma 16" xfId="118"/>
    <cellStyle name="Comma 16 2" xfId="119"/>
    <cellStyle name="Comma 16 3" xfId="120"/>
    <cellStyle name="Comma 16 4" xfId="121"/>
    <cellStyle name="Comma 16 5" xfId="122"/>
    <cellStyle name="Comma 16 6" xfId="123"/>
    <cellStyle name="Comma 16 7" xfId="124"/>
    <cellStyle name="Comma 16 8" xfId="125"/>
    <cellStyle name="Comma 17" xfId="126"/>
    <cellStyle name="Comma 18" xfId="127"/>
    <cellStyle name="Comma 18 2" xfId="128"/>
    <cellStyle name="Comma 18 2 2" xfId="129"/>
    <cellStyle name="Comma 19" xfId="130"/>
    <cellStyle name="Comma 2" xfId="24"/>
    <cellStyle name="Comma 2 10" xfId="247"/>
    <cellStyle name="Comma 2 11" xfId="260"/>
    <cellStyle name="Comma 2 12" xfId="285"/>
    <cellStyle name="Comma 2 13" xfId="327"/>
    <cellStyle name="Comma 2 14" xfId="280"/>
    <cellStyle name="Comma 2 15" xfId="367"/>
    <cellStyle name="Comma 2 16" xfId="385"/>
    <cellStyle name="Comma 2 17" xfId="401"/>
    <cellStyle name="Comma 2 18" xfId="72"/>
    <cellStyle name="Comma 2 2" xfId="25"/>
    <cellStyle name="Comma 2 2 10" xfId="325"/>
    <cellStyle name="Comma 2 2 11" xfId="282"/>
    <cellStyle name="Comma 2 2 12" xfId="331"/>
    <cellStyle name="Comma 2 2 13" xfId="276"/>
    <cellStyle name="Comma 2 2 14" xfId="336"/>
    <cellStyle name="Comma 2 2 15" xfId="73"/>
    <cellStyle name="Comma 2 2 2" xfId="62"/>
    <cellStyle name="Comma 2 2 2 2" xfId="133"/>
    <cellStyle name="Comma 2 2 2 3" xfId="287"/>
    <cellStyle name="Comma 2 2 2 4" xfId="324"/>
    <cellStyle name="Comma 2 2 2 5" xfId="283"/>
    <cellStyle name="Comma 2 2 2 6" xfId="330"/>
    <cellStyle name="Comma 2 2 2 7" xfId="277"/>
    <cellStyle name="Comma 2 2 2 8" xfId="334"/>
    <cellStyle name="Comma 2 2 3" xfId="132"/>
    <cellStyle name="Comma 2 2 4" xfId="135"/>
    <cellStyle name="Comma 2 2 5" xfId="136"/>
    <cellStyle name="Comma 2 2 6" xfId="137"/>
    <cellStyle name="Comma 2 2 7" xfId="138"/>
    <cellStyle name="Comma 2 2 8" xfId="139"/>
    <cellStyle name="Comma 2 2 9" xfId="286"/>
    <cellStyle name="Comma 2 3" xfId="26"/>
    <cellStyle name="Comma 2 3 2" xfId="140"/>
    <cellStyle name="Comma 2 3 3" xfId="295"/>
    <cellStyle name="Comma 2 3 4" xfId="312"/>
    <cellStyle name="Comma 2 3 5" xfId="298"/>
    <cellStyle name="Comma 2 3 6" xfId="311"/>
    <cellStyle name="Comma 2 3 7" xfId="299"/>
    <cellStyle name="Comma 2 3 8" xfId="310"/>
    <cellStyle name="Comma 2 3 9" xfId="74"/>
    <cellStyle name="Comma 2 4" xfId="55"/>
    <cellStyle name="Comma 2 4 2" xfId="141"/>
    <cellStyle name="Comma 2 4 3" xfId="296"/>
    <cellStyle name="Comma 2 4 4" xfId="365"/>
    <cellStyle name="Comma 2 4 5" xfId="383"/>
    <cellStyle name="Comma 2 4 6" xfId="399"/>
    <cellStyle name="Comma 2 4 7" xfId="415"/>
    <cellStyle name="Comma 2 4 8" xfId="428"/>
    <cellStyle name="Comma 2 5" xfId="131"/>
    <cellStyle name="Comma 2 6" xfId="143"/>
    <cellStyle name="Comma 2 7" xfId="144"/>
    <cellStyle name="Comma 2 8" xfId="145"/>
    <cellStyle name="Comma 2 9" xfId="146"/>
    <cellStyle name="Comma 2_F2.1" xfId="459"/>
    <cellStyle name="Comma 20" xfId="147"/>
    <cellStyle name="Comma 21" xfId="148"/>
    <cellStyle name="Comma 22" xfId="149"/>
    <cellStyle name="Comma 23" xfId="150"/>
    <cellStyle name="Comma 24" xfId="151"/>
    <cellStyle name="Comma 25" xfId="152"/>
    <cellStyle name="Comma 26" xfId="153"/>
    <cellStyle name="Comma 27" xfId="154"/>
    <cellStyle name="Comma 28" xfId="155"/>
    <cellStyle name="Comma 29" xfId="156"/>
    <cellStyle name="Comma 3" xfId="27"/>
    <cellStyle name="Comma 3 10" xfId="75"/>
    <cellStyle name="Comma 3 2" xfId="61"/>
    <cellStyle name="Comma 3 2 2" xfId="76"/>
    <cellStyle name="Comma 3 2 3" xfId="436"/>
    <cellStyle name="Comma 3 3" xfId="157"/>
    <cellStyle name="Comma 3 4" xfId="301"/>
    <cellStyle name="Comma 3 5" xfId="361"/>
    <cellStyle name="Comma 3 6" xfId="379"/>
    <cellStyle name="Comma 3 7" xfId="396"/>
    <cellStyle name="Comma 3 8" xfId="412"/>
    <cellStyle name="Comma 3 9" xfId="426"/>
    <cellStyle name="Comma 3_F2.1" xfId="460"/>
    <cellStyle name="Comma 30" xfId="158"/>
    <cellStyle name="Comma 31" xfId="159"/>
    <cellStyle name="Comma 32" xfId="160"/>
    <cellStyle name="Comma 33" xfId="161"/>
    <cellStyle name="Comma 34" xfId="162"/>
    <cellStyle name="Comma 35" xfId="163"/>
    <cellStyle name="Comma 36" xfId="164"/>
    <cellStyle name="Comma 37" xfId="165"/>
    <cellStyle name="Comma 38" xfId="249"/>
    <cellStyle name="Comma 39" xfId="254"/>
    <cellStyle name="Comma 4" xfId="28"/>
    <cellStyle name="Comma 4 10" xfId="77"/>
    <cellStyle name="Comma 4 2" xfId="63"/>
    <cellStyle name="Comma 4 2 10" xfId="437"/>
    <cellStyle name="Comma 4 2 2" xfId="167"/>
    <cellStyle name="Comma 4 2 3" xfId="305"/>
    <cellStyle name="Comma 4 2 4" xfId="359"/>
    <cellStyle name="Comma 4 2 5" xfId="377"/>
    <cellStyle name="Comma 4 2 6" xfId="395"/>
    <cellStyle name="Comma 4 2 7" xfId="411"/>
    <cellStyle name="Comma 4 2 8" xfId="425"/>
    <cellStyle name="Comma 4 2 9" xfId="78"/>
    <cellStyle name="Comma 4 3" xfId="168"/>
    <cellStyle name="Comma 4 4" xfId="169"/>
    <cellStyle name="Comma 4 5" xfId="170"/>
    <cellStyle name="Comma 4 6" xfId="171"/>
    <cellStyle name="Comma 4 7" xfId="172"/>
    <cellStyle name="Comma 4 8" xfId="173"/>
    <cellStyle name="Comma 4 9" xfId="174"/>
    <cellStyle name="Comma 40" xfId="256"/>
    <cellStyle name="Comma 41" xfId="258"/>
    <cellStyle name="Comma 42" xfId="262"/>
    <cellStyle name="Comma 43" xfId="266"/>
    <cellStyle name="Comma 44" xfId="451"/>
    <cellStyle name="Comma 45" xfId="453"/>
    <cellStyle name="Comma 46" xfId="455"/>
    <cellStyle name="Comma 47" xfId="457"/>
    <cellStyle name="Comma 48" xfId="458"/>
    <cellStyle name="Comma 49" xfId="421"/>
    <cellStyle name="Comma 5" xfId="29"/>
    <cellStyle name="Comma 5 10" xfId="176"/>
    <cellStyle name="Comma 5 11" xfId="308"/>
    <cellStyle name="Comma 5 12" xfId="302"/>
    <cellStyle name="Comma 5 13" xfId="307"/>
    <cellStyle name="Comma 5 14" xfId="303"/>
    <cellStyle name="Comma 5 15" xfId="306"/>
    <cellStyle name="Comma 5 16" xfId="304"/>
    <cellStyle name="Comma 5 17" xfId="79"/>
    <cellStyle name="Comma 5 18" xfId="438"/>
    <cellStyle name="Comma 5 2" xfId="175"/>
    <cellStyle name="Comma 5 2 2" xfId="177"/>
    <cellStyle name="Comma 5 2 3" xfId="309"/>
    <cellStyle name="Comma 5 2 4" xfId="300"/>
    <cellStyle name="Comma 5 2 5" xfId="364"/>
    <cellStyle name="Comma 5 2 6" xfId="382"/>
    <cellStyle name="Comma 5 2 7" xfId="398"/>
    <cellStyle name="Comma 5 2 8" xfId="414"/>
    <cellStyle name="Comma 5 3" xfId="178"/>
    <cellStyle name="Comma 5 3 2" xfId="179"/>
    <cellStyle name="Comma 5 3 3" xfId="180"/>
    <cellStyle name="Comma 5 3 4" xfId="181"/>
    <cellStyle name="Comma 5 3 5" xfId="182"/>
    <cellStyle name="Comma 5 3 6" xfId="183"/>
    <cellStyle name="Comma 5 3 7" xfId="184"/>
    <cellStyle name="Comma 5 3 8" xfId="185"/>
    <cellStyle name="Comma 5 4" xfId="186"/>
    <cellStyle name="Comma 5 4 2" xfId="187"/>
    <cellStyle name="Comma 5 4 2 2" xfId="188"/>
    <cellStyle name="Comma 5 4 2 3" xfId="250"/>
    <cellStyle name="Comma 5 4 2 4" xfId="263"/>
    <cellStyle name="Comma 5 5" xfId="189"/>
    <cellStyle name="Comma 5 6" xfId="190"/>
    <cellStyle name="Comma 5 7" xfId="191"/>
    <cellStyle name="Comma 5 8" xfId="192"/>
    <cellStyle name="Comma 5 9" xfId="193"/>
    <cellStyle name="Comma 6" xfId="47"/>
    <cellStyle name="Comma 6 2" xfId="48"/>
    <cellStyle name="Comma 6 3" xfId="49"/>
    <cellStyle name="Comma 6 4" xfId="50"/>
    <cellStyle name="Comma 6 5" xfId="80"/>
    <cellStyle name="Comma 7" xfId="21"/>
    <cellStyle name="Comma 7 2" xfId="195"/>
    <cellStyle name="Comma 7 3" xfId="317"/>
    <cellStyle name="Comma 7 4" xfId="291"/>
    <cellStyle name="Comma 7 5" xfId="315"/>
    <cellStyle name="Comma 7 6" xfId="293"/>
    <cellStyle name="Comma 7 7" xfId="313"/>
    <cellStyle name="Comma 7 8" xfId="297"/>
    <cellStyle name="Comma 8" xfId="64"/>
    <cellStyle name="Comma 8 10" xfId="439"/>
    <cellStyle name="Comma 8 2" xfId="196"/>
    <cellStyle name="Comma 8 3" xfId="318"/>
    <cellStyle name="Comma 8 4" xfId="290"/>
    <cellStyle name="Comma 8 5" xfId="316"/>
    <cellStyle name="Comma 8 6" xfId="292"/>
    <cellStyle name="Comma 8 7" xfId="314"/>
    <cellStyle name="Comma 8 8" xfId="294"/>
    <cellStyle name="Comma 8 9" xfId="81"/>
    <cellStyle name="Comma 9" xfId="93"/>
    <cellStyle name="Comma 9 2" xfId="197"/>
    <cellStyle name="Comma 9 3" xfId="319"/>
    <cellStyle name="Comma 9 4" xfId="289"/>
    <cellStyle name="Comma 9 5" xfId="320"/>
    <cellStyle name="Comma 9 6" xfId="288"/>
    <cellStyle name="Comma 9 7" xfId="242"/>
    <cellStyle name="Comma 9 8" xfId="353"/>
    <cellStyle name="Curren - Style2" xfId="3"/>
    <cellStyle name="Grey" xfId="4"/>
    <cellStyle name="Header1" xfId="5"/>
    <cellStyle name="Header2" xfId="6"/>
    <cellStyle name="Hyperlink 2" xfId="198"/>
    <cellStyle name="Input [yellow]" xfId="7"/>
    <cellStyle name="no dec" xfId="8"/>
    <cellStyle name="Normal" xfId="0" builtinId="0"/>
    <cellStyle name="Normal - Style1" xfId="9"/>
    <cellStyle name="Normal 10" xfId="66"/>
    <cellStyle name="Normal 10 10" xfId="440"/>
    <cellStyle name="Normal 10 2" xfId="199"/>
    <cellStyle name="Normal 10 3" xfId="321"/>
    <cellStyle name="Normal 10 4" xfId="363"/>
    <cellStyle name="Normal 10 5" xfId="381"/>
    <cellStyle name="Normal 10 6" xfId="397"/>
    <cellStyle name="Normal 10 7" xfId="413"/>
    <cellStyle name="Normal 10 8" xfId="427"/>
    <cellStyle name="Normal 10 9" xfId="82"/>
    <cellStyle name="Normal 11" xfId="68"/>
    <cellStyle name="Normal 11 10" xfId="441"/>
    <cellStyle name="Normal 11 2" xfId="200"/>
    <cellStyle name="Normal 11 3" xfId="322"/>
    <cellStyle name="Normal 11 4" xfId="356"/>
    <cellStyle name="Normal 11 5" xfId="374"/>
    <cellStyle name="Normal 11 6" xfId="392"/>
    <cellStyle name="Normal 11 7" xfId="408"/>
    <cellStyle name="Normal 11 8" xfId="424"/>
    <cellStyle name="Normal 11 9" xfId="83"/>
    <cellStyle name="Normal 12" xfId="69"/>
    <cellStyle name="Normal 12 10" xfId="442"/>
    <cellStyle name="Normal 12 2" xfId="201"/>
    <cellStyle name="Normal 12 3" xfId="323"/>
    <cellStyle name="Normal 12 4" xfId="284"/>
    <cellStyle name="Normal 12 5" xfId="328"/>
    <cellStyle name="Normal 12 6" xfId="279"/>
    <cellStyle name="Normal 12 7" xfId="332"/>
    <cellStyle name="Normal 12 8" xfId="275"/>
    <cellStyle name="Normal 12 9" xfId="84"/>
    <cellStyle name="Normal 13" xfId="202"/>
    <cellStyle name="Normal 14" xfId="203"/>
    <cellStyle name="Normal 14 2" xfId="67"/>
    <cellStyle name="Normal 14 2 2" xfId="85"/>
    <cellStyle name="Normal 14 2 3" xfId="443"/>
    <cellStyle name="Normal 14 2_F2.1" xfId="463"/>
    <cellStyle name="Normal 15" xfId="18"/>
    <cellStyle name="Normal 15 10" xfId="444"/>
    <cellStyle name="Normal 15 2" xfId="204"/>
    <cellStyle name="Normal 15 3" xfId="326"/>
    <cellStyle name="Normal 15 4" xfId="281"/>
    <cellStyle name="Normal 15 5" xfId="358"/>
    <cellStyle name="Normal 15 6" xfId="376"/>
    <cellStyle name="Normal 15 7" xfId="394"/>
    <cellStyle name="Normal 15 8" xfId="410"/>
    <cellStyle name="Normal 15 9" xfId="86"/>
    <cellStyle name="Normal 16" xfId="205"/>
    <cellStyle name="Normal 17" xfId="206"/>
    <cellStyle name="Normal 18" xfId="60"/>
    <cellStyle name="Normal 18 10" xfId="445"/>
    <cellStyle name="Normal 18 2" xfId="207"/>
    <cellStyle name="Normal 18 2 2" xfId="209"/>
    <cellStyle name="Normal 18 2 3" xfId="252"/>
    <cellStyle name="Normal 18 2 4" xfId="265"/>
    <cellStyle name="Normal 18 3" xfId="329"/>
    <cellStyle name="Normal 18 4" xfId="278"/>
    <cellStyle name="Normal 18 5" xfId="333"/>
    <cellStyle name="Normal 18 6" xfId="274"/>
    <cellStyle name="Normal 18 7" xfId="337"/>
    <cellStyle name="Normal 18 8" xfId="272"/>
    <cellStyle name="Normal 18 9" xfId="87"/>
    <cellStyle name="Normal 19" xfId="210"/>
    <cellStyle name="Normal 2" xfId="10"/>
    <cellStyle name="Normal 2 2" xfId="11"/>
    <cellStyle name="Normal 2 2 2" xfId="30"/>
    <cellStyle name="Normal 2 2 2 2" xfId="56"/>
    <cellStyle name="Normal 2 2_F2.1" xfId="461"/>
    <cellStyle name="Normal 2 3" xfId="12"/>
    <cellStyle name="Normal 2 3 2" xfId="213"/>
    <cellStyle name="Normal 2 3 3" xfId="335"/>
    <cellStyle name="Normal 2 3 4" xfId="273"/>
    <cellStyle name="Normal 2 3 5" xfId="338"/>
    <cellStyle name="Normal 2 3 6" xfId="271"/>
    <cellStyle name="Normal 2 3 7" xfId="339"/>
    <cellStyle name="Normal 2 3 8" xfId="270"/>
    <cellStyle name="Normal 2 4" xfId="51"/>
    <cellStyle name="Normal 2_ARR FINAL" xfId="31"/>
    <cellStyle name="Normal 20" xfId="214"/>
    <cellStyle name="Normal 21" xfId="215"/>
    <cellStyle name="Normal 22" xfId="216"/>
    <cellStyle name="Normal 23" xfId="217"/>
    <cellStyle name="Normal 24" xfId="218"/>
    <cellStyle name="Normal 25" xfId="219"/>
    <cellStyle name="Normal 26" xfId="220"/>
    <cellStyle name="Normal 27" xfId="221"/>
    <cellStyle name="Normal 28" xfId="222"/>
    <cellStyle name="Normal 29" xfId="223"/>
    <cellStyle name="Normal 3" xfId="13"/>
    <cellStyle name="Normal 3 10" xfId="269"/>
    <cellStyle name="Normal 3 11" xfId="342"/>
    <cellStyle name="Normal 3 12" xfId="134"/>
    <cellStyle name="Normal 3 13" xfId="360"/>
    <cellStyle name="Normal 3 14" xfId="378"/>
    <cellStyle name="Normal 3 2" xfId="32"/>
    <cellStyle name="Normal 3 2 2" xfId="57"/>
    <cellStyle name="Normal 3 2 3" xfId="225"/>
    <cellStyle name="Normal 3 2 4" xfId="341"/>
    <cellStyle name="Normal 3 2 5" xfId="268"/>
    <cellStyle name="Normal 3 2 6" xfId="343"/>
    <cellStyle name="Normal 3 2 7" xfId="142"/>
    <cellStyle name="Normal 3 2 8" xfId="362"/>
    <cellStyle name="Normal 3 2 9" xfId="380"/>
    <cellStyle name="Normal 3 3" xfId="224"/>
    <cellStyle name="Normal 3 4" xfId="226"/>
    <cellStyle name="Normal 3 5" xfId="227"/>
    <cellStyle name="Normal 3 6" xfId="228"/>
    <cellStyle name="Normal 3 7" xfId="229"/>
    <cellStyle name="Normal 3 8" xfId="230"/>
    <cellStyle name="Normal 3 9" xfId="340"/>
    <cellStyle name="Normal 30" xfId="231"/>
    <cellStyle name="Normal 31" xfId="246"/>
    <cellStyle name="Normal 32" xfId="253"/>
    <cellStyle name="Normal 33" xfId="255"/>
    <cellStyle name="Normal 34" xfId="257"/>
    <cellStyle name="Normal 35" xfId="259"/>
    <cellStyle name="Normal 36" xfId="267"/>
    <cellStyle name="Normal 37" xfId="434"/>
    <cellStyle name="Normal 38" xfId="450"/>
    <cellStyle name="Normal 39" xfId="22"/>
    <cellStyle name="Normal 4" xfId="33"/>
    <cellStyle name="Normal 4 10" xfId="166"/>
    <cellStyle name="Normal 4 11" xfId="368"/>
    <cellStyle name="Normal 4 12" xfId="386"/>
    <cellStyle name="Normal 4 13" xfId="402"/>
    <cellStyle name="Normal 4 14" xfId="417"/>
    <cellStyle name="Normal 4 2" xfId="58"/>
    <cellStyle name="Normal 4 2 2" xfId="233"/>
    <cellStyle name="Normal 4 2 3" xfId="345"/>
    <cellStyle name="Normal 4 2 4" xfId="194"/>
    <cellStyle name="Normal 4 2 5" xfId="346"/>
    <cellStyle name="Normal 4 2 6" xfId="211"/>
    <cellStyle name="Normal 4 2 7" xfId="349"/>
    <cellStyle name="Normal 4 2 8" xfId="212"/>
    <cellStyle name="Normal 4 3" xfId="232"/>
    <cellStyle name="Normal 4 4" xfId="234"/>
    <cellStyle name="Normal 4 5" xfId="235"/>
    <cellStyle name="Normal 4 6" xfId="236"/>
    <cellStyle name="Normal 4 7" xfId="237"/>
    <cellStyle name="Normal 4 8" xfId="238"/>
    <cellStyle name="Normal 4 9" xfId="344"/>
    <cellStyle name="Normal 40" xfId="452"/>
    <cellStyle name="Normal 41" xfId="454"/>
    <cellStyle name="Normal 42" xfId="456"/>
    <cellStyle name="Normal 5" xfId="34"/>
    <cellStyle name="Normal 5 10" xfId="88"/>
    <cellStyle name="Normal 5 11" xfId="446"/>
    <cellStyle name="Normal 5 2" xfId="35"/>
    <cellStyle name="Normal 5 3" xfId="239"/>
    <cellStyle name="Normal 5 4" xfId="350"/>
    <cellStyle name="Normal 5 5" xfId="369"/>
    <cellStyle name="Normal 5 6" xfId="387"/>
    <cellStyle name="Normal 5 7" xfId="403"/>
    <cellStyle name="Normal 5 8" xfId="418"/>
    <cellStyle name="Normal 5 9" xfId="429"/>
    <cellStyle name="Normal 6" xfId="36"/>
    <cellStyle name="Normal 6 2" xfId="240"/>
    <cellStyle name="Normal 6 3" xfId="351"/>
    <cellStyle name="Normal 6 4" xfId="370"/>
    <cellStyle name="Normal 6 5" xfId="388"/>
    <cellStyle name="Normal 6 6" xfId="404"/>
    <cellStyle name="Normal 6 7" xfId="419"/>
    <cellStyle name="Normal 6 8" xfId="430"/>
    <cellStyle name="Normal 7" xfId="37"/>
    <cellStyle name="Normal 7 10" xfId="447"/>
    <cellStyle name="Normal 7 2" xfId="241"/>
    <cellStyle name="Normal 7 2 2" xfId="243"/>
    <cellStyle name="Normal 7 3" xfId="352"/>
    <cellStyle name="Normal 7 4" xfId="371"/>
    <cellStyle name="Normal 7 5" xfId="389"/>
    <cellStyle name="Normal 7 6" xfId="405"/>
    <cellStyle name="Normal 7 7" xfId="420"/>
    <cellStyle name="Normal 7 8" xfId="431"/>
    <cellStyle name="Normal 7 9" xfId="89"/>
    <cellStyle name="Normal 8" xfId="52"/>
    <cellStyle name="Normal 8 2" xfId="244"/>
    <cellStyle name="Normal 8 3" xfId="354"/>
    <cellStyle name="Normal 8 4" xfId="372"/>
    <cellStyle name="Normal 8 5" xfId="390"/>
    <cellStyle name="Normal 8 6" xfId="406"/>
    <cellStyle name="Normal 8 7" xfId="422"/>
    <cellStyle name="Normal 8 8" xfId="432"/>
    <cellStyle name="Normal 9" xfId="53"/>
    <cellStyle name="Normal 9 2" xfId="245"/>
    <cellStyle name="Normal 9 3" xfId="355"/>
    <cellStyle name="Normal 9 4" xfId="373"/>
    <cellStyle name="Normal 9 5" xfId="391"/>
    <cellStyle name="Normal 9 6" xfId="407"/>
    <cellStyle name="Normal 9 7" xfId="423"/>
    <cellStyle name="Normal 9 8" xfId="433"/>
    <cellStyle name="Normal_FORMATS 5 YEAR ALOKE 2" xfId="14"/>
    <cellStyle name="Percent [0]_#6 Temps &amp; Contractors" xfId="15"/>
    <cellStyle name="Percent [2]" xfId="16"/>
    <cellStyle name="Percent 2" xfId="38"/>
    <cellStyle name="Percent 2 2" xfId="39"/>
    <cellStyle name="Percent 2 3" xfId="59"/>
    <cellStyle name="Percent 3" xfId="40"/>
    <cellStyle name="Percent 3 2" xfId="41"/>
    <cellStyle name="Percent 4" xfId="23"/>
    <cellStyle name="Percent 41" xfId="20"/>
    <cellStyle name="Percent 41 2" xfId="90"/>
    <cellStyle name="Percent 41 3" xfId="448"/>
    <cellStyle name="Percent 5" xfId="42"/>
    <cellStyle name="Percent 5 2" xfId="43"/>
    <cellStyle name="Percent 5 3" xfId="44"/>
    <cellStyle name="Percent 6" xfId="45"/>
    <cellStyle name="Percent 6 2" xfId="46"/>
    <cellStyle name="Percent 7" xfId="65"/>
    <cellStyle name="Percent 7 2" xfId="91"/>
    <cellStyle name="Percent 7 3" xfId="449"/>
    <cellStyle name="Style 1" xfId="17"/>
    <cellStyle name="Style 2" xfId="54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26"/>
  <sheetViews>
    <sheetView showGridLines="0" zoomScale="80" zoomScaleNormal="80" zoomScaleSheetLayoutView="80" workbookViewId="0">
      <selection activeCell="G12" sqref="G12"/>
    </sheetView>
  </sheetViews>
  <sheetFormatPr defaultColWidth="9.28515625" defaultRowHeight="15"/>
  <cols>
    <col min="1" max="1" width="3.7109375" style="6" customWidth="1"/>
    <col min="2" max="2" width="7.42578125" style="6" customWidth="1"/>
    <col min="3" max="3" width="12.5703125" style="6" customWidth="1"/>
    <col min="4" max="4" width="43.28515625" style="6" customWidth="1"/>
    <col min="5" max="5" width="11.42578125" style="6" customWidth="1"/>
    <col min="6" max="6" width="20.7109375" style="6" customWidth="1"/>
    <col min="7" max="8" width="18.7109375" style="6" customWidth="1"/>
    <col min="9" max="16384" width="9.28515625" style="6"/>
  </cols>
  <sheetData>
    <row r="1" spans="2:8" ht="15.75">
      <c r="B1" s="244" t="s">
        <v>380</v>
      </c>
      <c r="C1" s="244"/>
      <c r="D1" s="245"/>
      <c r="E1" s="245"/>
      <c r="F1" s="1"/>
      <c r="G1" s="1"/>
      <c r="H1" s="1"/>
    </row>
    <row r="2" spans="2:8" ht="15.75">
      <c r="B2" s="244" t="s">
        <v>485</v>
      </c>
      <c r="C2" s="244"/>
      <c r="D2" s="245"/>
      <c r="E2" s="245"/>
      <c r="F2" s="1"/>
      <c r="G2" s="1"/>
      <c r="H2" s="1"/>
    </row>
    <row r="3" spans="2:8" s="10" customFormat="1" ht="15.75">
      <c r="B3" s="246" t="s">
        <v>350</v>
      </c>
      <c r="C3" s="246"/>
      <c r="D3" s="247"/>
      <c r="E3" s="247"/>
      <c r="F3" s="1"/>
      <c r="G3" s="1"/>
      <c r="H3" s="1"/>
    </row>
    <row r="4" spans="2:8" ht="15.75">
      <c r="D4" s="64" t="s">
        <v>352</v>
      </c>
    </row>
    <row r="5" spans="2:8" ht="15.75">
      <c r="B5" s="11" t="s">
        <v>175</v>
      </c>
      <c r="C5" s="11" t="s">
        <v>351</v>
      </c>
      <c r="D5" s="12" t="s">
        <v>6</v>
      </c>
      <c r="E5" s="12" t="s">
        <v>353</v>
      </c>
    </row>
    <row r="6" spans="2:8">
      <c r="B6" s="7">
        <v>1</v>
      </c>
      <c r="C6" s="7" t="s">
        <v>5</v>
      </c>
      <c r="D6" s="163" t="s">
        <v>355</v>
      </c>
      <c r="E6" s="8"/>
    </row>
    <row r="7" spans="2:8">
      <c r="B7" s="7">
        <f>B6+1</f>
        <v>2</v>
      </c>
      <c r="C7" s="7" t="s">
        <v>247</v>
      </c>
      <c r="D7" s="163" t="s">
        <v>357</v>
      </c>
      <c r="E7" s="8"/>
    </row>
    <row r="8" spans="2:8">
      <c r="B8" s="7">
        <f>B7+1</f>
        <v>3</v>
      </c>
      <c r="C8" s="7" t="s">
        <v>18</v>
      </c>
      <c r="D8" s="163" t="s">
        <v>358</v>
      </c>
      <c r="E8" s="8"/>
    </row>
    <row r="9" spans="2:8">
      <c r="B9" s="7">
        <f>B8+1</f>
        <v>4</v>
      </c>
      <c r="C9" s="7" t="s">
        <v>19</v>
      </c>
      <c r="D9" s="163" t="s">
        <v>359</v>
      </c>
      <c r="E9" s="8"/>
    </row>
    <row r="10" spans="2:8">
      <c r="B10" s="7">
        <f>B9+1</f>
        <v>5</v>
      </c>
      <c r="C10" s="7" t="s">
        <v>248</v>
      </c>
      <c r="D10" s="163" t="s">
        <v>360</v>
      </c>
      <c r="E10" s="8"/>
    </row>
    <row r="11" spans="2:8" ht="30">
      <c r="B11" s="7">
        <f t="shared" ref="B11:B26" si="0">B10+1</f>
        <v>6</v>
      </c>
      <c r="C11" s="7" t="s">
        <v>16</v>
      </c>
      <c r="D11" s="163" t="s">
        <v>201</v>
      </c>
      <c r="E11" s="8"/>
    </row>
    <row r="12" spans="2:8" ht="30">
      <c r="B12" s="7">
        <f t="shared" si="0"/>
        <v>7</v>
      </c>
      <c r="C12" s="7" t="s">
        <v>21</v>
      </c>
      <c r="D12" s="163" t="s">
        <v>361</v>
      </c>
      <c r="E12" s="8"/>
    </row>
    <row r="13" spans="2:8">
      <c r="B13" s="7">
        <f t="shared" si="0"/>
        <v>8</v>
      </c>
      <c r="C13" s="7" t="s">
        <v>22</v>
      </c>
      <c r="D13" s="9" t="s">
        <v>172</v>
      </c>
      <c r="E13" s="8"/>
    </row>
    <row r="14" spans="2:8">
      <c r="B14" s="7">
        <f t="shared" si="0"/>
        <v>9</v>
      </c>
      <c r="C14" s="7" t="s">
        <v>17</v>
      </c>
      <c r="D14" s="9" t="s">
        <v>362</v>
      </c>
      <c r="E14" s="8"/>
    </row>
    <row r="15" spans="2:8">
      <c r="B15" s="7">
        <f t="shared" si="0"/>
        <v>10</v>
      </c>
      <c r="C15" s="7" t="s">
        <v>23</v>
      </c>
      <c r="D15" s="163" t="s">
        <v>212</v>
      </c>
      <c r="E15" s="8"/>
    </row>
    <row r="16" spans="2:8">
      <c r="B16" s="7">
        <f t="shared" si="0"/>
        <v>11</v>
      </c>
      <c r="C16" s="7" t="s">
        <v>24</v>
      </c>
      <c r="D16" s="9" t="s">
        <v>268</v>
      </c>
      <c r="E16" s="8"/>
    </row>
    <row r="17" spans="2:5">
      <c r="B17" s="7">
        <f t="shared" si="0"/>
        <v>12</v>
      </c>
      <c r="C17" s="7" t="s">
        <v>25</v>
      </c>
      <c r="D17" s="9" t="s">
        <v>213</v>
      </c>
      <c r="E17" s="8"/>
    </row>
    <row r="18" spans="2:5">
      <c r="B18" s="7">
        <f t="shared" si="0"/>
        <v>13</v>
      </c>
      <c r="C18" s="7" t="s">
        <v>26</v>
      </c>
      <c r="D18" s="9" t="s">
        <v>139</v>
      </c>
      <c r="E18" s="8"/>
    </row>
    <row r="19" spans="2:5">
      <c r="B19" s="7">
        <f t="shared" si="0"/>
        <v>14</v>
      </c>
      <c r="C19" s="7" t="s">
        <v>27</v>
      </c>
      <c r="D19" s="9" t="s">
        <v>20</v>
      </c>
      <c r="E19" s="8"/>
    </row>
    <row r="20" spans="2:5">
      <c r="B20" s="7">
        <f t="shared" si="0"/>
        <v>15</v>
      </c>
      <c r="C20" s="7" t="s">
        <v>28</v>
      </c>
      <c r="D20" s="163" t="s">
        <v>363</v>
      </c>
      <c r="E20" s="8"/>
    </row>
    <row r="21" spans="2:5" ht="30">
      <c r="B21" s="7">
        <f t="shared" si="0"/>
        <v>16</v>
      </c>
      <c r="C21" s="7" t="s">
        <v>29</v>
      </c>
      <c r="D21" s="163" t="s">
        <v>364</v>
      </c>
      <c r="E21" s="8"/>
    </row>
    <row r="22" spans="2:5">
      <c r="B22" s="7">
        <f t="shared" si="0"/>
        <v>17</v>
      </c>
      <c r="C22" s="7" t="s">
        <v>147</v>
      </c>
      <c r="D22" s="163" t="s">
        <v>216</v>
      </c>
      <c r="E22" s="8"/>
    </row>
    <row r="23" spans="2:5">
      <c r="B23" s="7">
        <f t="shared" si="0"/>
        <v>18</v>
      </c>
      <c r="C23" s="7" t="s">
        <v>151</v>
      </c>
      <c r="D23" s="163" t="s">
        <v>365</v>
      </c>
      <c r="E23" s="8"/>
    </row>
    <row r="24" spans="2:5">
      <c r="B24" s="7">
        <f t="shared" si="0"/>
        <v>19</v>
      </c>
      <c r="C24" s="7" t="s">
        <v>354</v>
      </c>
      <c r="D24" s="163" t="s">
        <v>209</v>
      </c>
      <c r="E24" s="8"/>
    </row>
    <row r="25" spans="2:5">
      <c r="B25" s="7">
        <f t="shared" si="0"/>
        <v>20</v>
      </c>
      <c r="C25" s="7" t="s">
        <v>203</v>
      </c>
      <c r="D25" s="163" t="s">
        <v>366</v>
      </c>
      <c r="E25" s="8"/>
    </row>
    <row r="26" spans="2:5">
      <c r="B26" s="7">
        <f t="shared" si="0"/>
        <v>21</v>
      </c>
      <c r="C26" s="7" t="s">
        <v>204</v>
      </c>
      <c r="D26" s="9" t="s">
        <v>367</v>
      </c>
      <c r="E26" s="8"/>
    </row>
  </sheetData>
  <mergeCells count="3">
    <mergeCell ref="B1:E1"/>
    <mergeCell ref="B3:E3"/>
    <mergeCell ref="B2:E2"/>
  </mergeCells>
  <phoneticPr fontId="14" type="noConversion"/>
  <pageMargins left="1.3" right="0.23622047244094499" top="1.1023622047244099" bottom="0.98425196850393704" header="0.23622047244094499" footer="0.23622047244094499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23"/>
  <sheetViews>
    <sheetView zoomScale="93" zoomScaleNormal="93" zoomScaleSheetLayoutView="90" workbookViewId="0">
      <selection activeCell="P19" sqref="P19"/>
    </sheetView>
  </sheetViews>
  <sheetFormatPr defaultColWidth="9.28515625" defaultRowHeight="14.25"/>
  <cols>
    <col min="1" max="1" width="4.28515625" style="5" customWidth="1"/>
    <col min="2" max="2" width="5.140625" style="5" customWidth="1"/>
    <col min="3" max="3" width="23.140625" style="5" customWidth="1"/>
    <col min="4" max="4" width="8.140625" style="5" customWidth="1"/>
    <col min="5" max="5" width="11.28515625" style="5" customWidth="1"/>
    <col min="6" max="6" width="11.140625" style="5" customWidth="1"/>
    <col min="7" max="7" width="9.5703125" style="5" customWidth="1"/>
    <col min="8" max="8" width="12.28515625" style="5" customWidth="1"/>
    <col min="9" max="9" width="10.7109375" style="5" customWidth="1"/>
    <col min="10" max="10" width="14.140625" style="5" customWidth="1"/>
    <col min="11" max="11" width="9.5703125" style="5" customWidth="1"/>
    <col min="12" max="12" width="9.42578125" style="5" customWidth="1"/>
    <col min="13" max="13" width="12.85546875" style="5" customWidth="1"/>
    <col min="14" max="14" width="12.5703125" style="5" customWidth="1"/>
    <col min="15" max="15" width="10.710937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6" ht="6" customHeight="1">
      <c r="B1" s="24"/>
    </row>
    <row r="2" spans="2:16" ht="15">
      <c r="H2" s="32" t="s">
        <v>381</v>
      </c>
      <c r="I2" s="33"/>
    </row>
    <row r="3" spans="2:16" ht="15">
      <c r="H3" s="32" t="s">
        <v>467</v>
      </c>
      <c r="I3" s="33"/>
    </row>
    <row r="4" spans="2:16" ht="15">
      <c r="H4" s="35" t="s">
        <v>253</v>
      </c>
      <c r="I4" s="35"/>
    </row>
    <row r="5" spans="2:16" ht="10.5" customHeight="1">
      <c r="K5" s="35"/>
      <c r="O5" s="32" t="s">
        <v>4</v>
      </c>
    </row>
    <row r="6" spans="2:16" ht="7.5" customHeight="1" thickBot="1"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</row>
    <row r="7" spans="2:16" ht="15">
      <c r="B7" s="265" t="s">
        <v>382</v>
      </c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7"/>
    </row>
    <row r="8" spans="2:16" ht="14.25" customHeight="1">
      <c r="B8" s="268" t="s">
        <v>2</v>
      </c>
      <c r="C8" s="270" t="s">
        <v>246</v>
      </c>
      <c r="D8" s="263" t="s">
        <v>234</v>
      </c>
      <c r="E8" s="263" t="s">
        <v>235</v>
      </c>
      <c r="F8" s="263" t="s">
        <v>236</v>
      </c>
      <c r="G8" s="263"/>
      <c r="H8" s="263"/>
      <c r="I8" s="263"/>
      <c r="J8" s="263" t="s">
        <v>237</v>
      </c>
      <c r="K8" s="263"/>
      <c r="L8" s="263"/>
      <c r="M8" s="263"/>
      <c r="N8" s="263" t="s">
        <v>238</v>
      </c>
      <c r="O8" s="264"/>
    </row>
    <row r="9" spans="2:16" ht="60.75" thickBot="1">
      <c r="B9" s="269"/>
      <c r="C9" s="271"/>
      <c r="D9" s="272"/>
      <c r="E9" s="272"/>
      <c r="F9" s="62" t="s">
        <v>239</v>
      </c>
      <c r="G9" s="62" t="s">
        <v>132</v>
      </c>
      <c r="H9" s="62" t="s">
        <v>240</v>
      </c>
      <c r="I9" s="62" t="s">
        <v>241</v>
      </c>
      <c r="J9" s="62" t="s">
        <v>242</v>
      </c>
      <c r="K9" s="62" t="s">
        <v>132</v>
      </c>
      <c r="L9" s="62" t="s">
        <v>243</v>
      </c>
      <c r="M9" s="62" t="s">
        <v>244</v>
      </c>
      <c r="N9" s="62" t="s">
        <v>239</v>
      </c>
      <c r="O9" s="63" t="s">
        <v>241</v>
      </c>
    </row>
    <row r="10" spans="2:16">
      <c r="B10" s="141">
        <v>1</v>
      </c>
      <c r="C10" s="142" t="s">
        <v>387</v>
      </c>
      <c r="D10" s="141">
        <v>1000</v>
      </c>
      <c r="E10" s="143"/>
      <c r="F10" s="190">
        <v>0.30455300000000002</v>
      </c>
      <c r="G10" s="145"/>
      <c r="H10" s="145"/>
      <c r="I10" s="144">
        <f>F10+G10+H10</f>
        <v>0.30455300000000002</v>
      </c>
      <c r="J10" s="190">
        <v>0</v>
      </c>
      <c r="K10" s="190"/>
      <c r="L10" s="145"/>
      <c r="M10" s="144">
        <f>J10+K10+L10</f>
        <v>0</v>
      </c>
      <c r="N10" s="145">
        <f>+F10-J10</f>
        <v>0.30455300000000002</v>
      </c>
      <c r="O10" s="145">
        <f>+I10-M10</f>
        <v>0.30455300000000002</v>
      </c>
    </row>
    <row r="11" spans="2:16">
      <c r="B11" s="141">
        <v>2</v>
      </c>
      <c r="C11" s="142" t="s">
        <v>394</v>
      </c>
      <c r="D11" s="141">
        <v>1010</v>
      </c>
      <c r="E11" s="143"/>
      <c r="F11" s="190">
        <v>0</v>
      </c>
      <c r="G11" s="145"/>
      <c r="H11" s="145"/>
      <c r="I11" s="144">
        <f t="shared" ref="I11:I22" si="0">F11+G11+H11</f>
        <v>0</v>
      </c>
      <c r="J11" s="190">
        <v>0</v>
      </c>
      <c r="K11" s="190"/>
      <c r="L11" s="145"/>
      <c r="M11" s="144">
        <f t="shared" ref="M11:M22" si="1">J11+K11+L11</f>
        <v>0</v>
      </c>
      <c r="N11" s="145">
        <f t="shared" ref="N11:N22" si="2">+F11-J11</f>
        <v>0</v>
      </c>
      <c r="O11" s="145">
        <f t="shared" ref="O11:O22" si="3">+I11-M11</f>
        <v>0</v>
      </c>
    </row>
    <row r="12" spans="2:16">
      <c r="B12" s="141">
        <v>3</v>
      </c>
      <c r="C12" s="142" t="s">
        <v>122</v>
      </c>
      <c r="D12" s="141">
        <v>1100</v>
      </c>
      <c r="E12" s="146"/>
      <c r="F12" s="190">
        <v>2.3185764999999998</v>
      </c>
      <c r="G12" s="145"/>
      <c r="H12" s="145"/>
      <c r="I12" s="144">
        <f t="shared" si="0"/>
        <v>2.3185764999999998</v>
      </c>
      <c r="J12" s="190">
        <v>2.0867447800000001</v>
      </c>
      <c r="K12" s="190"/>
      <c r="L12" s="145"/>
      <c r="M12" s="144">
        <f t="shared" si="1"/>
        <v>2.0867447800000001</v>
      </c>
      <c r="N12" s="145">
        <f t="shared" si="2"/>
        <v>0.23183171999999974</v>
      </c>
      <c r="O12" s="145">
        <f t="shared" si="3"/>
        <v>0.23183171999999974</v>
      </c>
    </row>
    <row r="13" spans="2:16">
      <c r="B13" s="141">
        <f>+B12+1</f>
        <v>4</v>
      </c>
      <c r="C13" s="142" t="s">
        <v>388</v>
      </c>
      <c r="D13" s="141">
        <v>1200</v>
      </c>
      <c r="E13" s="146"/>
      <c r="F13" s="190">
        <v>0.783107412</v>
      </c>
      <c r="G13" s="145"/>
      <c r="H13" s="145"/>
      <c r="I13" s="144">
        <f t="shared" si="0"/>
        <v>0.783107412</v>
      </c>
      <c r="J13" s="190">
        <v>0.70771692999999991</v>
      </c>
      <c r="K13" s="190"/>
      <c r="L13" s="145"/>
      <c r="M13" s="144">
        <f t="shared" si="1"/>
        <v>0.70771692999999991</v>
      </c>
      <c r="N13" s="145">
        <f t="shared" si="2"/>
        <v>7.5390482000000092E-2</v>
      </c>
      <c r="O13" s="145">
        <f t="shared" si="3"/>
        <v>7.5390482000000092E-2</v>
      </c>
    </row>
    <row r="14" spans="2:16">
      <c r="B14" s="141">
        <f t="shared" ref="B14:B22" si="4">+B13+1</f>
        <v>5</v>
      </c>
      <c r="C14" s="142" t="s">
        <v>121</v>
      </c>
      <c r="D14" s="141">
        <v>1300</v>
      </c>
      <c r="E14" s="146"/>
      <c r="F14" s="190">
        <v>118.68920978300002</v>
      </c>
      <c r="G14" s="145"/>
      <c r="H14" s="145"/>
      <c r="I14" s="144">
        <f>F14+G14+H14</f>
        <v>118.68920978300002</v>
      </c>
      <c r="J14" s="190">
        <v>103.837603122</v>
      </c>
      <c r="K14" s="190">
        <v>3.32</v>
      </c>
      <c r="L14" s="145"/>
      <c r="M14" s="144">
        <f t="shared" si="1"/>
        <v>107.157603122</v>
      </c>
      <c r="N14" s="145">
        <f t="shared" si="2"/>
        <v>14.851606661000019</v>
      </c>
      <c r="O14" s="145">
        <f t="shared" si="3"/>
        <v>11.531606661000026</v>
      </c>
      <c r="P14" s="164"/>
    </row>
    <row r="15" spans="2:16">
      <c r="B15" s="141">
        <f t="shared" si="4"/>
        <v>6</v>
      </c>
      <c r="C15" s="147" t="s">
        <v>389</v>
      </c>
      <c r="D15" s="141">
        <v>1400</v>
      </c>
      <c r="E15" s="146"/>
      <c r="F15" s="190">
        <v>0.49543939999999997</v>
      </c>
      <c r="G15" s="145"/>
      <c r="H15" s="145"/>
      <c r="I15" s="144">
        <f t="shared" si="0"/>
        <v>0.49543939999999997</v>
      </c>
      <c r="J15" s="190">
        <v>0.44589546000000002</v>
      </c>
      <c r="K15" s="190"/>
      <c r="L15" s="145"/>
      <c r="M15" s="144">
        <f t="shared" si="1"/>
        <v>0.44589546000000002</v>
      </c>
      <c r="N15" s="145">
        <f t="shared" si="2"/>
        <v>4.9543939999999953E-2</v>
      </c>
      <c r="O15" s="145">
        <f t="shared" si="3"/>
        <v>4.9543939999999953E-2</v>
      </c>
    </row>
    <row r="16" spans="2:16">
      <c r="B16" s="141">
        <f t="shared" si="4"/>
        <v>7</v>
      </c>
      <c r="C16" s="147" t="s">
        <v>124</v>
      </c>
      <c r="D16" s="141">
        <v>1500</v>
      </c>
      <c r="E16" s="146"/>
      <c r="F16" s="190">
        <v>0.56308040000000004</v>
      </c>
      <c r="G16" s="145"/>
      <c r="H16" s="145"/>
      <c r="I16" s="144">
        <f t="shared" si="0"/>
        <v>0.56308040000000004</v>
      </c>
      <c r="J16" s="190">
        <v>0.50677236000000003</v>
      </c>
      <c r="K16" s="190"/>
      <c r="L16" s="145"/>
      <c r="M16" s="144">
        <f t="shared" si="1"/>
        <v>0.50677236000000003</v>
      </c>
      <c r="N16" s="145">
        <f t="shared" si="2"/>
        <v>5.6308040000000004E-2</v>
      </c>
      <c r="O16" s="145">
        <f t="shared" si="3"/>
        <v>5.6308040000000004E-2</v>
      </c>
    </row>
    <row r="17" spans="2:16">
      <c r="B17" s="141">
        <f t="shared" si="4"/>
        <v>8</v>
      </c>
      <c r="C17" s="147" t="s">
        <v>390</v>
      </c>
      <c r="D17" s="141">
        <v>1600</v>
      </c>
      <c r="E17" s="146"/>
      <c r="F17" s="190">
        <v>2.5696333999999998</v>
      </c>
      <c r="G17" s="145"/>
      <c r="H17" s="145"/>
      <c r="I17" s="144">
        <f t="shared" si="0"/>
        <v>2.5696333999999998</v>
      </c>
      <c r="J17" s="190">
        <v>2.3126802100000003</v>
      </c>
      <c r="K17" s="190"/>
      <c r="L17" s="145"/>
      <c r="M17" s="144">
        <f t="shared" si="1"/>
        <v>2.3126802100000003</v>
      </c>
      <c r="N17" s="145">
        <f t="shared" si="2"/>
        <v>0.2569531899999995</v>
      </c>
      <c r="O17" s="145">
        <f t="shared" si="3"/>
        <v>0.2569531899999995</v>
      </c>
    </row>
    <row r="18" spans="2:16">
      <c r="B18" s="141">
        <f t="shared" si="4"/>
        <v>9</v>
      </c>
      <c r="C18" s="147" t="s">
        <v>126</v>
      </c>
      <c r="D18" s="141">
        <v>1700</v>
      </c>
      <c r="E18" s="146"/>
      <c r="F18" s="190">
        <v>0.37026399999999998</v>
      </c>
      <c r="G18" s="145"/>
      <c r="H18" s="145"/>
      <c r="I18" s="144">
        <f t="shared" si="0"/>
        <v>0.37026399999999998</v>
      </c>
      <c r="J18" s="190">
        <v>0.33323760000000002</v>
      </c>
      <c r="K18" s="190"/>
      <c r="L18" s="145"/>
      <c r="M18" s="144">
        <f t="shared" si="1"/>
        <v>0.33323760000000002</v>
      </c>
      <c r="N18" s="145">
        <f t="shared" si="2"/>
        <v>3.7026399999999959E-2</v>
      </c>
      <c r="O18" s="145">
        <f t="shared" si="3"/>
        <v>3.7026399999999959E-2</v>
      </c>
    </row>
    <row r="19" spans="2:16">
      <c r="B19" s="141">
        <f t="shared" si="4"/>
        <v>10</v>
      </c>
      <c r="C19" s="147" t="s">
        <v>391</v>
      </c>
      <c r="D19" s="141">
        <v>1800</v>
      </c>
      <c r="E19" s="146"/>
      <c r="F19" s="190">
        <v>0.16864212100000001</v>
      </c>
      <c r="G19" s="145"/>
      <c r="H19" s="145"/>
      <c r="I19" s="144">
        <f t="shared" si="0"/>
        <v>0.16864212100000001</v>
      </c>
      <c r="J19" s="190">
        <v>0.13598148300000001</v>
      </c>
      <c r="K19" s="190"/>
      <c r="L19" s="145"/>
      <c r="M19" s="144">
        <f t="shared" si="1"/>
        <v>0.13598148300000001</v>
      </c>
      <c r="N19" s="145">
        <f t="shared" si="2"/>
        <v>3.2660637999999992E-2</v>
      </c>
      <c r="O19" s="145">
        <f t="shared" si="3"/>
        <v>3.2660637999999992E-2</v>
      </c>
    </row>
    <row r="20" spans="2:16">
      <c r="B20" s="141">
        <f t="shared" si="4"/>
        <v>11</v>
      </c>
      <c r="C20" s="147" t="s">
        <v>392</v>
      </c>
      <c r="D20" s="141">
        <v>1900</v>
      </c>
      <c r="E20" s="146"/>
      <c r="F20" s="190">
        <v>0.53314953399999998</v>
      </c>
      <c r="G20" s="145"/>
      <c r="H20" s="145"/>
      <c r="I20" s="144">
        <f t="shared" si="0"/>
        <v>0.53314953399999998</v>
      </c>
      <c r="J20" s="190">
        <v>0.44955632400000001</v>
      </c>
      <c r="K20" s="190"/>
      <c r="L20" s="145"/>
      <c r="M20" s="144">
        <f t="shared" si="1"/>
        <v>0.44955632400000001</v>
      </c>
      <c r="N20" s="145">
        <f t="shared" si="2"/>
        <v>8.3593209999999973E-2</v>
      </c>
      <c r="O20" s="145">
        <f t="shared" si="3"/>
        <v>8.3593209999999973E-2</v>
      </c>
    </row>
    <row r="21" spans="2:16">
      <c r="B21" s="141">
        <f t="shared" si="4"/>
        <v>12</v>
      </c>
      <c r="C21" s="142" t="s">
        <v>128</v>
      </c>
      <c r="D21" s="143">
        <v>2100</v>
      </c>
      <c r="E21" s="146"/>
      <c r="F21" s="190">
        <v>0.27434445000000002</v>
      </c>
      <c r="G21" s="145">
        <v>2.5000000000000001E-3</v>
      </c>
      <c r="H21" s="145"/>
      <c r="I21" s="144">
        <f t="shared" si="0"/>
        <v>0.27684445000000002</v>
      </c>
      <c r="J21" s="190">
        <v>0.22381173099999999</v>
      </c>
      <c r="K21" s="190"/>
      <c r="L21" s="145"/>
      <c r="M21" s="144">
        <f t="shared" si="1"/>
        <v>0.22381173099999999</v>
      </c>
      <c r="N21" s="145">
        <f t="shared" si="2"/>
        <v>5.0532719000000031E-2</v>
      </c>
      <c r="O21" s="145">
        <f t="shared" si="3"/>
        <v>5.3032719000000034E-2</v>
      </c>
    </row>
    <row r="22" spans="2:16">
      <c r="B22" s="141">
        <f t="shared" si="4"/>
        <v>13</v>
      </c>
      <c r="C22" s="142" t="s">
        <v>393</v>
      </c>
      <c r="D22" s="143">
        <v>2200</v>
      </c>
      <c r="E22" s="146"/>
      <c r="F22" s="190">
        <v>0.01</v>
      </c>
      <c r="G22" s="145"/>
      <c r="H22" s="145"/>
      <c r="I22" s="144">
        <f t="shared" si="0"/>
        <v>0.01</v>
      </c>
      <c r="J22" s="190">
        <v>0.01</v>
      </c>
      <c r="K22" s="190"/>
      <c r="L22" s="145"/>
      <c r="M22" s="144">
        <f t="shared" si="1"/>
        <v>0.01</v>
      </c>
      <c r="N22" s="145">
        <f t="shared" si="2"/>
        <v>0</v>
      </c>
      <c r="O22" s="145">
        <f t="shared" si="3"/>
        <v>0</v>
      </c>
      <c r="P22" s="160"/>
    </row>
    <row r="23" spans="2:16" s="47" customFormat="1" ht="15.75" thickBot="1">
      <c r="B23" s="161"/>
      <c r="C23" s="162" t="s">
        <v>133</v>
      </c>
      <c r="D23" s="162"/>
      <c r="E23" s="159">
        <f>IFERROR((K23-L23)/AVERAGE(F23,I23),0)</f>
        <v>2.6125275417060119E-2</v>
      </c>
      <c r="F23" s="235">
        <f>ROUND(SUM(F10:F22),2)</f>
        <v>127.08</v>
      </c>
      <c r="G23" s="235">
        <f t="shared" ref="G23:O23" si="5">ROUND(SUM(G10:G22),2)</f>
        <v>0</v>
      </c>
      <c r="H23" s="235">
        <f t="shared" si="5"/>
        <v>0</v>
      </c>
      <c r="I23" s="235">
        <f t="shared" si="5"/>
        <v>127.08</v>
      </c>
      <c r="J23" s="235">
        <f t="shared" si="5"/>
        <v>111.05</v>
      </c>
      <c r="K23" s="235">
        <f t="shared" si="5"/>
        <v>3.32</v>
      </c>
      <c r="L23" s="235">
        <f t="shared" si="5"/>
        <v>0</v>
      </c>
      <c r="M23" s="235">
        <f t="shared" si="5"/>
        <v>114.37</v>
      </c>
      <c r="N23" s="235">
        <f t="shared" si="5"/>
        <v>16.03</v>
      </c>
      <c r="O23" s="235">
        <f t="shared" si="5"/>
        <v>12.71</v>
      </c>
    </row>
  </sheetData>
  <mergeCells count="8">
    <mergeCell ref="J8:M8"/>
    <mergeCell ref="N8:O8"/>
    <mergeCell ref="B7:O7"/>
    <mergeCell ref="B8:B9"/>
    <mergeCell ref="C8:C9"/>
    <mergeCell ref="D8:D9"/>
    <mergeCell ref="E8:E9"/>
    <mergeCell ref="F8:I8"/>
  </mergeCells>
  <pageMargins left="0.27" right="0.25" top="0.25" bottom="0.25" header="0.25" footer="0.25"/>
  <pageSetup paperSize="9" scale="88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23"/>
  <sheetViews>
    <sheetView topLeftCell="A12" zoomScale="89" zoomScaleNormal="89" zoomScaleSheetLayoutView="90" workbookViewId="0">
      <selection activeCell="J28" sqref="J28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6.710937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>
      <c r="B1" s="24"/>
    </row>
    <row r="2" spans="2:6" ht="15">
      <c r="C2" s="35" t="s">
        <v>381</v>
      </c>
    </row>
    <row r="3" spans="2:6" ht="15">
      <c r="C3" s="35" t="s">
        <v>467</v>
      </c>
    </row>
    <row r="4" spans="2:6" ht="15">
      <c r="C4" s="35" t="s">
        <v>255</v>
      </c>
    </row>
    <row r="5" spans="2:6" ht="15">
      <c r="B5" s="33" t="s">
        <v>51</v>
      </c>
      <c r="C5" s="24" t="s">
        <v>256</v>
      </c>
      <c r="F5" s="26" t="s">
        <v>4</v>
      </c>
    </row>
    <row r="6" spans="2:6" s="13" customFormat="1" ht="15" customHeight="1">
      <c r="B6" s="252" t="s">
        <v>175</v>
      </c>
      <c r="C6" s="255" t="s">
        <v>12</v>
      </c>
      <c r="D6" s="259" t="s">
        <v>382</v>
      </c>
      <c r="E6" s="260"/>
      <c r="F6" s="261"/>
    </row>
    <row r="7" spans="2:6" s="13" customFormat="1" ht="45">
      <c r="B7" s="253"/>
      <c r="C7" s="255"/>
      <c r="D7" s="15" t="s">
        <v>349</v>
      </c>
      <c r="E7" s="15" t="s">
        <v>218</v>
      </c>
      <c r="F7" s="15" t="s">
        <v>190</v>
      </c>
    </row>
    <row r="8" spans="2:6" s="13" customFormat="1" ht="15">
      <c r="B8" s="254"/>
      <c r="C8" s="256"/>
      <c r="D8" s="15" t="s">
        <v>8</v>
      </c>
      <c r="E8" s="15" t="s">
        <v>10</v>
      </c>
      <c r="F8" s="15" t="s">
        <v>211</v>
      </c>
    </row>
    <row r="9" spans="2:6">
      <c r="B9" s="59">
        <v>1</v>
      </c>
      <c r="C9" s="27" t="s">
        <v>158</v>
      </c>
      <c r="D9" s="2"/>
      <c r="E9" s="112">
        <f>'F4'!F23*70%</f>
        <v>88.955999999999989</v>
      </c>
      <c r="F9" s="112">
        <f>E9</f>
        <v>88.955999999999989</v>
      </c>
    </row>
    <row r="10" spans="2:6">
      <c r="B10" s="20">
        <f>B9+1</f>
        <v>2</v>
      </c>
      <c r="C10" s="27" t="s">
        <v>159</v>
      </c>
      <c r="D10" s="2"/>
      <c r="E10" s="112">
        <f>'F4'!J23</f>
        <v>111.05</v>
      </c>
      <c r="F10" s="112">
        <f>E10</f>
        <v>111.05</v>
      </c>
    </row>
    <row r="11" spans="2:6" ht="15">
      <c r="B11" s="20">
        <f t="shared" ref="B11:B21" si="0">B10+1</f>
        <v>3</v>
      </c>
      <c r="C11" s="29" t="s">
        <v>160</v>
      </c>
      <c r="D11" s="109">
        <f>D9-D10</f>
        <v>0</v>
      </c>
      <c r="E11" s="109">
        <f>IF((E9-E10)&lt;0,0,(E9-E10))</f>
        <v>0</v>
      </c>
      <c r="F11" s="109">
        <f>IF((F9-F10)&lt;0,0,(F9-F10))</f>
        <v>0</v>
      </c>
    </row>
    <row r="12" spans="2:6" ht="28.5">
      <c r="B12" s="20">
        <f t="shared" si="0"/>
        <v>4</v>
      </c>
      <c r="C12" s="66" t="s">
        <v>161</v>
      </c>
      <c r="D12" s="111"/>
      <c r="E12" s="111"/>
      <c r="F12" s="111"/>
    </row>
    <row r="13" spans="2:6" s="32" customFormat="1" ht="28.5">
      <c r="B13" s="20">
        <f t="shared" si="0"/>
        <v>5</v>
      </c>
      <c r="C13" s="37" t="s">
        <v>378</v>
      </c>
      <c r="D13" s="111"/>
      <c r="E13" s="117">
        <f>'F3'!E12*75%</f>
        <v>0</v>
      </c>
      <c r="F13" s="117">
        <f>'F3'!F12*75%</f>
        <v>0</v>
      </c>
    </row>
    <row r="14" spans="2:6">
      <c r="B14" s="20">
        <f t="shared" si="0"/>
        <v>6</v>
      </c>
      <c r="C14" s="66" t="s">
        <v>166</v>
      </c>
      <c r="D14" s="126"/>
      <c r="E14" s="126">
        <f>'F1'!G12</f>
        <v>3.32</v>
      </c>
      <c r="F14" s="126">
        <f>'F1'!H12</f>
        <v>3.32</v>
      </c>
    </row>
    <row r="15" spans="2:6" ht="15">
      <c r="B15" s="20">
        <f t="shared" si="0"/>
        <v>7</v>
      </c>
      <c r="C15" s="27" t="s">
        <v>162</v>
      </c>
      <c r="D15" s="109"/>
      <c r="E15" s="109">
        <f>IF((E11-E12+E13-E14)&lt;0,0,(E11-E12+E13-E14))</f>
        <v>0</v>
      </c>
      <c r="F15" s="109">
        <f>IF((F11-F12+F13-F14)&lt;0,0,(F11-F12+F13-F14))</f>
        <v>0</v>
      </c>
    </row>
    <row r="16" spans="2:6" ht="15">
      <c r="B16" s="20">
        <f t="shared" si="0"/>
        <v>8</v>
      </c>
      <c r="C16" s="27" t="s">
        <v>163</v>
      </c>
      <c r="D16" s="109"/>
      <c r="E16" s="109">
        <f t="shared" ref="E16:F16" si="1">E9-E12+E13-E14</f>
        <v>85.635999999999996</v>
      </c>
      <c r="F16" s="109">
        <f t="shared" si="1"/>
        <v>85.635999999999996</v>
      </c>
    </row>
    <row r="17" spans="2:6" ht="15">
      <c r="B17" s="20">
        <f t="shared" si="0"/>
        <v>9</v>
      </c>
      <c r="C17" s="27" t="s">
        <v>196</v>
      </c>
      <c r="D17" s="109"/>
      <c r="E17" s="109">
        <f t="shared" ref="E17:F17" si="2">AVERAGE(E11,E15)</f>
        <v>0</v>
      </c>
      <c r="F17" s="109">
        <f t="shared" si="2"/>
        <v>0</v>
      </c>
    </row>
    <row r="18" spans="2:6">
      <c r="B18" s="20">
        <f t="shared" si="0"/>
        <v>10</v>
      </c>
      <c r="C18" s="66" t="s">
        <v>195</v>
      </c>
      <c r="D18" s="110"/>
      <c r="E18" s="110">
        <v>9.5500000000000002E-2</v>
      </c>
      <c r="F18" s="110">
        <f>E18</f>
        <v>9.5500000000000002E-2</v>
      </c>
    </row>
    <row r="19" spans="2:6" ht="15">
      <c r="B19" s="20">
        <f t="shared" si="0"/>
        <v>11</v>
      </c>
      <c r="C19" s="27" t="s">
        <v>257</v>
      </c>
      <c r="D19" s="109">
        <f>D17*D18</f>
        <v>0</v>
      </c>
      <c r="E19" s="109">
        <f>E17*E18</f>
        <v>0</v>
      </c>
      <c r="F19" s="109">
        <f>F17*F18</f>
        <v>0</v>
      </c>
    </row>
    <row r="20" spans="2:6">
      <c r="B20" s="20">
        <f t="shared" si="0"/>
        <v>12</v>
      </c>
      <c r="C20" s="27" t="s">
        <v>258</v>
      </c>
      <c r="D20" s="67"/>
      <c r="E20" s="67"/>
      <c r="F20" s="67"/>
    </row>
    <row r="21" spans="2:6" ht="15">
      <c r="B21" s="20">
        <f t="shared" si="0"/>
        <v>13</v>
      </c>
      <c r="C21" s="27" t="s">
        <v>259</v>
      </c>
      <c r="D21" s="109">
        <v>0</v>
      </c>
      <c r="E21" s="109">
        <f>IF((E19+E20)&lt;0,0,(E19+E20))</f>
        <v>0</v>
      </c>
      <c r="F21" s="109">
        <f>IF((F19+F20)&lt;0,0,(F19+F20))</f>
        <v>0</v>
      </c>
    </row>
    <row r="22" spans="2:6">
      <c r="B22" s="34"/>
      <c r="C22" s="5" t="s">
        <v>220</v>
      </c>
    </row>
    <row r="23" spans="2:6">
      <c r="C23" s="5" t="s">
        <v>379</v>
      </c>
    </row>
  </sheetData>
  <mergeCells count="3">
    <mergeCell ref="B6:B8"/>
    <mergeCell ref="C6:C8"/>
    <mergeCell ref="D6:F6"/>
  </mergeCells>
  <pageMargins left="0.27559055118110237" right="0.23622047244094491" top="0.23622047244094491" bottom="0.23622047244094491" header="0.23622047244094491" footer="0.23622047244094491"/>
  <pageSetup paperSize="9" fitToHeight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B1:F40"/>
  <sheetViews>
    <sheetView showGridLines="0" topLeftCell="A17" zoomScale="95" zoomScaleNormal="95" zoomScaleSheetLayoutView="90" workbookViewId="0">
      <selection activeCell="I28" sqref="I28"/>
    </sheetView>
  </sheetViews>
  <sheetFormatPr defaultColWidth="9.28515625" defaultRowHeight="14.25"/>
  <cols>
    <col min="1" max="1" width="4.28515625" style="5" customWidth="1"/>
    <col min="2" max="2" width="6.28515625" style="5" customWidth="1"/>
    <col min="3" max="3" width="33.42578125" style="5" customWidth="1"/>
    <col min="4" max="4" width="12.140625" style="5" customWidth="1"/>
    <col min="5" max="5" width="12.5703125" style="5" bestFit="1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>
      <c r="B1" s="24"/>
    </row>
    <row r="2" spans="2:6" ht="14.25" customHeight="1">
      <c r="B2" s="248" t="s">
        <v>381</v>
      </c>
      <c r="C2" s="248"/>
      <c r="D2" s="248"/>
      <c r="E2" s="248"/>
      <c r="F2" s="248"/>
    </row>
    <row r="3" spans="2:6" ht="14.25" customHeight="1">
      <c r="B3" s="248" t="s">
        <v>467</v>
      </c>
      <c r="C3" s="248"/>
      <c r="D3" s="248"/>
      <c r="E3" s="248"/>
      <c r="F3" s="248"/>
    </row>
    <row r="4" spans="2:6" ht="14.25" customHeight="1">
      <c r="B4" s="248" t="s">
        <v>260</v>
      </c>
      <c r="C4" s="248"/>
      <c r="D4" s="248"/>
      <c r="E4" s="248"/>
      <c r="F4" s="248"/>
    </row>
    <row r="5" spans="2:6" ht="15">
      <c r="F5" s="26" t="s">
        <v>4</v>
      </c>
    </row>
    <row r="6" spans="2:6" s="13" customFormat="1" ht="15" customHeight="1">
      <c r="B6" s="252" t="s">
        <v>175</v>
      </c>
      <c r="C6" s="14" t="s">
        <v>12</v>
      </c>
      <c r="D6" s="65" t="s">
        <v>382</v>
      </c>
      <c r="E6" s="127"/>
      <c r="F6" s="180"/>
    </row>
    <row r="7" spans="2:6" s="13" customFormat="1" ht="45">
      <c r="B7" s="253"/>
      <c r="C7" s="14"/>
      <c r="D7" s="15" t="s">
        <v>349</v>
      </c>
      <c r="E7" s="15" t="s">
        <v>218</v>
      </c>
      <c r="F7" s="15" t="s">
        <v>190</v>
      </c>
    </row>
    <row r="8" spans="2:6" s="13" customFormat="1" ht="15">
      <c r="B8" s="254"/>
      <c r="C8" s="20"/>
      <c r="D8" s="15" t="s">
        <v>8</v>
      </c>
      <c r="E8" s="15" t="s">
        <v>10</v>
      </c>
      <c r="F8" s="15" t="s">
        <v>211</v>
      </c>
    </row>
    <row r="9" spans="2:6">
      <c r="B9" s="59">
        <v>1</v>
      </c>
      <c r="C9" s="27" t="s">
        <v>261</v>
      </c>
      <c r="D9" s="2"/>
      <c r="E9" s="112">
        <f>62.5*24*20*85%*(1-0.1)*'F12'!F17/10000</f>
        <v>15.388339898572712</v>
      </c>
      <c r="F9" s="117">
        <f t="shared" ref="F9:F14" si="0">E9</f>
        <v>15.388339898572712</v>
      </c>
    </row>
    <row r="10" spans="2:6">
      <c r="B10" s="20">
        <f>B9+1</f>
        <v>2</v>
      </c>
      <c r="C10" s="27" t="s">
        <v>262</v>
      </c>
      <c r="D10" s="2"/>
      <c r="E10" s="112">
        <f>62.5*24*30*85%*(1-0.1)*'F12'!G17/10000</f>
        <v>23.082509847859065</v>
      </c>
      <c r="F10" s="117">
        <f t="shared" si="0"/>
        <v>23.082509847859065</v>
      </c>
    </row>
    <row r="11" spans="2:6">
      <c r="B11" s="20">
        <f t="shared" ref="B11:B19" si="1">B10+1</f>
        <v>3</v>
      </c>
      <c r="C11" s="29" t="s">
        <v>263</v>
      </c>
      <c r="D11" s="2"/>
      <c r="E11" s="112">
        <f>62.5*24*85%*(1-0.1)*'F12'!G18*30/10000</f>
        <v>6.2894475000000005</v>
      </c>
      <c r="F11" s="117">
        <f t="shared" si="0"/>
        <v>6.2894475000000005</v>
      </c>
    </row>
    <row r="12" spans="2:6">
      <c r="B12" s="20">
        <f t="shared" si="1"/>
        <v>4</v>
      </c>
      <c r="C12" s="66" t="s">
        <v>264</v>
      </c>
      <c r="D12" s="111"/>
      <c r="E12" s="111">
        <f>'F2'!F14/12</f>
        <v>1.9816666666666667</v>
      </c>
      <c r="F12" s="133">
        <f t="shared" si="0"/>
        <v>1.9816666666666667</v>
      </c>
    </row>
    <row r="13" spans="2:6" s="32" customFormat="1" ht="15">
      <c r="B13" s="20">
        <f t="shared" si="1"/>
        <v>5</v>
      </c>
      <c r="C13" s="37" t="s">
        <v>265</v>
      </c>
      <c r="D13" s="67"/>
      <c r="E13" s="117">
        <f>'F4'!F23*1%</f>
        <v>1.2707999999999999</v>
      </c>
      <c r="F13" s="117">
        <f t="shared" si="0"/>
        <v>1.2707999999999999</v>
      </c>
    </row>
    <row r="14" spans="2:6">
      <c r="B14" s="20">
        <f t="shared" si="1"/>
        <v>6</v>
      </c>
      <c r="C14" s="66" t="s">
        <v>375</v>
      </c>
      <c r="D14" s="111"/>
      <c r="E14" s="111">
        <f ca="1">E10*45/30+E11*45/30+('F1'!G11+'F1'!G12+'F7'!E21+'F6'!E19-'F1'!G16)*45/365</f>
        <v>49.019031912199559</v>
      </c>
      <c r="F14" s="111">
        <f t="shared" ca="1" si="0"/>
        <v>49.019031912199559</v>
      </c>
    </row>
    <row r="15" spans="2:6">
      <c r="B15" s="20"/>
      <c r="C15" s="66" t="s">
        <v>266</v>
      </c>
      <c r="D15" s="67"/>
      <c r="E15" s="29"/>
      <c r="F15" s="3"/>
    </row>
    <row r="16" spans="2:6">
      <c r="B16" s="20">
        <f>B14+1</f>
        <v>7</v>
      </c>
      <c r="C16" s="27" t="s">
        <v>376</v>
      </c>
      <c r="D16" s="111"/>
      <c r="E16" s="111">
        <f>E10+E11</f>
        <v>29.371957347859066</v>
      </c>
      <c r="F16" s="111">
        <f>E16</f>
        <v>29.371957347859066</v>
      </c>
    </row>
    <row r="17" spans="2:6" ht="15">
      <c r="B17" s="20">
        <f t="shared" si="1"/>
        <v>8</v>
      </c>
      <c r="C17" s="27" t="s">
        <v>49</v>
      </c>
      <c r="D17" s="109">
        <f>SUM(D9:D14)-D16</f>
        <v>0</v>
      </c>
      <c r="E17" s="109">
        <f t="shared" ref="E17:F17" ca="1" si="2">SUM(E9:E14)-E16</f>
        <v>67.659838477438939</v>
      </c>
      <c r="F17" s="109">
        <f t="shared" ca="1" si="2"/>
        <v>67.659838477438939</v>
      </c>
    </row>
    <row r="18" spans="2:6">
      <c r="B18" s="20">
        <f t="shared" si="1"/>
        <v>9</v>
      </c>
      <c r="C18" s="27" t="s">
        <v>267</v>
      </c>
      <c r="D18" s="110"/>
      <c r="E18" s="110">
        <f>E40+1.5%</f>
        <v>0.10410684931506847</v>
      </c>
      <c r="F18" s="110">
        <f>E18</f>
        <v>0.10410684931506847</v>
      </c>
    </row>
    <row r="19" spans="2:6" ht="15">
      <c r="B19" s="20">
        <f t="shared" si="1"/>
        <v>10</v>
      </c>
      <c r="C19" s="66" t="s">
        <v>268</v>
      </c>
      <c r="D19" s="109">
        <v>0.2</v>
      </c>
      <c r="E19" s="109">
        <f ca="1">ROUND(E17*E18,2)</f>
        <v>7.04</v>
      </c>
      <c r="F19" s="109">
        <f ca="1">ROUND(F17*F18,2)</f>
        <v>7.04</v>
      </c>
    </row>
    <row r="20" spans="2:6">
      <c r="D20" s="148"/>
      <c r="E20" s="5">
        <f ca="1">ROUND(E19*64/365,2)</f>
        <v>1.23</v>
      </c>
      <c r="F20" s="5">
        <f ca="1">E20</f>
        <v>1.23</v>
      </c>
    </row>
    <row r="21" spans="2:6">
      <c r="C21" s="5" t="s">
        <v>220</v>
      </c>
    </row>
    <row r="22" spans="2:6" ht="32.25" customHeight="1">
      <c r="B22" s="273" t="s">
        <v>377</v>
      </c>
      <c r="C22" s="273"/>
      <c r="D22" s="273"/>
      <c r="E22" s="273"/>
      <c r="F22" s="273"/>
    </row>
    <row r="23" spans="2:6" ht="15">
      <c r="C23" s="35" t="s">
        <v>450</v>
      </c>
      <c r="D23" s="35"/>
      <c r="E23" s="35"/>
      <c r="F23" s="35"/>
    </row>
    <row r="25" spans="2:6" ht="15">
      <c r="C25" s="171" t="s">
        <v>451</v>
      </c>
      <c r="D25" s="171" t="s">
        <v>382</v>
      </c>
      <c r="E25" s="171"/>
    </row>
    <row r="26" spans="2:6" ht="15">
      <c r="C26" s="171"/>
      <c r="D26" s="171" t="s">
        <v>452</v>
      </c>
      <c r="E26" s="171" t="s">
        <v>453</v>
      </c>
    </row>
    <row r="27" spans="2:6">
      <c r="C27" s="172" t="s">
        <v>454</v>
      </c>
      <c r="D27" s="172">
        <v>15</v>
      </c>
      <c r="E27" s="174">
        <v>8.6499999999999994E-2</v>
      </c>
    </row>
    <row r="28" spans="2:6">
      <c r="C28" s="172" t="s">
        <v>455</v>
      </c>
      <c r="D28" s="172">
        <v>30</v>
      </c>
      <c r="E28" s="174">
        <v>8.6499999999999994E-2</v>
      </c>
    </row>
    <row r="29" spans="2:6">
      <c r="C29" s="172" t="s">
        <v>456</v>
      </c>
      <c r="D29" s="172">
        <v>31</v>
      </c>
      <c r="E29" s="174">
        <v>8.7499999999999994E-2</v>
      </c>
    </row>
    <row r="30" spans="2:6">
      <c r="C30" s="172" t="s">
        <v>457</v>
      </c>
      <c r="D30" s="172">
        <v>30</v>
      </c>
      <c r="E30" s="174">
        <v>8.8499999999999995E-2</v>
      </c>
    </row>
    <row r="31" spans="2:6">
      <c r="C31" s="172" t="s">
        <v>458</v>
      </c>
      <c r="D31" s="172">
        <v>31</v>
      </c>
      <c r="E31" s="174">
        <v>8.9499999999999996E-2</v>
      </c>
    </row>
    <row r="32" spans="2:6">
      <c r="C32" s="172" t="s">
        <v>459</v>
      </c>
      <c r="D32" s="172">
        <v>31</v>
      </c>
      <c r="E32" s="174">
        <v>8.9499999999999996E-2</v>
      </c>
    </row>
    <row r="33" spans="3:5">
      <c r="C33" s="172" t="s">
        <v>460</v>
      </c>
      <c r="D33" s="172">
        <v>30</v>
      </c>
      <c r="E33" s="174">
        <v>8.9499999999999996E-2</v>
      </c>
    </row>
    <row r="34" spans="3:5">
      <c r="C34" s="172" t="s">
        <v>461</v>
      </c>
      <c r="D34" s="172">
        <v>31</v>
      </c>
      <c r="E34" s="176">
        <v>0.09</v>
      </c>
    </row>
    <row r="35" spans="3:5">
      <c r="C35" s="172" t="s">
        <v>462</v>
      </c>
      <c r="D35" s="172">
        <v>30</v>
      </c>
      <c r="E35" s="176">
        <v>0.09</v>
      </c>
    </row>
    <row r="36" spans="3:5">
      <c r="C36" s="172" t="s">
        <v>463</v>
      </c>
      <c r="D36" s="172">
        <v>31</v>
      </c>
      <c r="E36" s="176">
        <v>0.09</v>
      </c>
    </row>
    <row r="37" spans="3:5">
      <c r="C37" s="172" t="s">
        <v>464</v>
      </c>
      <c r="D37" s="172">
        <v>31</v>
      </c>
      <c r="E37" s="176">
        <v>0.09</v>
      </c>
    </row>
    <row r="38" spans="3:5">
      <c r="C38" s="172" t="s">
        <v>465</v>
      </c>
      <c r="D38" s="172">
        <v>28</v>
      </c>
      <c r="E38" s="176">
        <v>0.09</v>
      </c>
    </row>
    <row r="39" spans="3:5">
      <c r="C39" s="172" t="s">
        <v>466</v>
      </c>
      <c r="D39" s="172">
        <v>16</v>
      </c>
      <c r="E39" s="176">
        <v>0.09</v>
      </c>
    </row>
    <row r="40" spans="3:5" ht="15">
      <c r="D40" s="173">
        <f>SUM(D27:D39)</f>
        <v>365</v>
      </c>
      <c r="E40" s="175">
        <f>SUMPRODUCT(D27:D39,E27:E39)/D40</f>
        <v>8.9106849315068473E-2</v>
      </c>
    </row>
  </sheetData>
  <mergeCells count="5">
    <mergeCell ref="B6:B8"/>
    <mergeCell ref="B2:F2"/>
    <mergeCell ref="B3:F3"/>
    <mergeCell ref="B4:F4"/>
    <mergeCell ref="B22:F22"/>
  </mergeCells>
  <pageMargins left="1.27" right="0.25" top="1" bottom="1" header="0.25" footer="0.25"/>
  <pageSetup paperSize="9" scale="12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23"/>
  <sheetViews>
    <sheetView showGridLines="0" zoomScale="96" zoomScaleNormal="96" zoomScaleSheetLayoutView="90" zoomScalePageLayoutView="84" workbookViewId="0">
      <selection activeCell="J20" sqref="J20"/>
    </sheetView>
  </sheetViews>
  <sheetFormatPr defaultColWidth="9.28515625" defaultRowHeight="14.25"/>
  <cols>
    <col min="1" max="1" width="3.28515625" style="5" customWidth="1"/>
    <col min="2" max="2" width="6.28515625" style="5" customWidth="1"/>
    <col min="3" max="3" width="54.140625" style="5" customWidth="1"/>
    <col min="4" max="4" width="12" style="5" customWidth="1"/>
    <col min="5" max="5" width="10.7109375" style="5" customWidth="1"/>
    <col min="6" max="6" width="11.5703125" style="5" customWidth="1"/>
    <col min="7" max="9" width="11.7109375" style="5" bestFit="1" customWidth="1"/>
    <col min="10" max="16384" width="9.28515625" style="5"/>
  </cols>
  <sheetData>
    <row r="1" spans="2:6" ht="15">
      <c r="B1" s="24"/>
    </row>
    <row r="2" spans="2:6" ht="14.25" customHeight="1">
      <c r="B2" s="248" t="s">
        <v>381</v>
      </c>
      <c r="C2" s="248"/>
      <c r="D2" s="248"/>
      <c r="E2" s="248"/>
      <c r="F2" s="248"/>
    </row>
    <row r="3" spans="2:6" ht="14.25" customHeight="1">
      <c r="B3" s="248" t="s">
        <v>467</v>
      </c>
      <c r="C3" s="248"/>
      <c r="D3" s="248"/>
      <c r="E3" s="248"/>
      <c r="F3" s="248"/>
    </row>
    <row r="4" spans="2:6" ht="14.25" customHeight="1">
      <c r="B4" s="248" t="s">
        <v>269</v>
      </c>
      <c r="C4" s="248"/>
      <c r="D4" s="248"/>
      <c r="E4" s="248"/>
      <c r="F4" s="248"/>
    </row>
    <row r="5" spans="2:6" ht="15">
      <c r="F5" s="26" t="s">
        <v>4</v>
      </c>
    </row>
    <row r="6" spans="2:6" s="13" customFormat="1" ht="15" customHeight="1">
      <c r="B6" s="252" t="s">
        <v>175</v>
      </c>
      <c r="C6" s="255" t="s">
        <v>12</v>
      </c>
      <c r="D6" s="259" t="s">
        <v>382</v>
      </c>
      <c r="E6" s="260"/>
      <c r="F6" s="261"/>
    </row>
    <row r="7" spans="2:6" s="13" customFormat="1" ht="45">
      <c r="B7" s="253"/>
      <c r="C7" s="255"/>
      <c r="D7" s="15" t="s">
        <v>349</v>
      </c>
      <c r="E7" s="15" t="s">
        <v>218</v>
      </c>
      <c r="F7" s="15" t="s">
        <v>190</v>
      </c>
    </row>
    <row r="8" spans="2:6" s="13" customFormat="1" ht="15">
      <c r="B8" s="254"/>
      <c r="C8" s="256"/>
      <c r="D8" s="15" t="s">
        <v>8</v>
      </c>
      <c r="E8" s="15" t="s">
        <v>10</v>
      </c>
      <c r="F8" s="15" t="s">
        <v>211</v>
      </c>
    </row>
    <row r="9" spans="2:6">
      <c r="B9" s="59">
        <v>1</v>
      </c>
      <c r="C9" s="27" t="s">
        <v>205</v>
      </c>
      <c r="D9" s="120"/>
      <c r="E9" s="40">
        <f>'F4'!F23*30%</f>
        <v>38.123999999999995</v>
      </c>
      <c r="F9" s="40">
        <f>E9</f>
        <v>38.123999999999995</v>
      </c>
    </row>
    <row r="10" spans="2:6">
      <c r="B10" s="20">
        <f>B9+1</f>
        <v>2</v>
      </c>
      <c r="C10" s="27" t="s">
        <v>206</v>
      </c>
      <c r="D10" s="120"/>
      <c r="E10" s="117">
        <f>'F3'!E12</f>
        <v>0</v>
      </c>
      <c r="F10" s="117">
        <f>'F3'!F12</f>
        <v>0</v>
      </c>
    </row>
    <row r="11" spans="2:6">
      <c r="B11" s="20">
        <f t="shared" ref="B11:B21" si="0">B10+1</f>
        <v>3</v>
      </c>
      <c r="C11" s="29" t="s">
        <v>13</v>
      </c>
      <c r="D11" s="122">
        <f>D10*25%</f>
        <v>0</v>
      </c>
      <c r="E11" s="122">
        <f>E10*25%</f>
        <v>0</v>
      </c>
      <c r="F11" s="122">
        <f t="shared" ref="F11" si="1">F10*25%</f>
        <v>0</v>
      </c>
    </row>
    <row r="12" spans="2:6" ht="28.5">
      <c r="B12" s="20">
        <f t="shared" si="0"/>
        <v>4</v>
      </c>
      <c r="C12" s="66" t="s">
        <v>14</v>
      </c>
      <c r="D12" s="124"/>
      <c r="E12" s="40"/>
      <c r="F12" s="120"/>
    </row>
    <row r="13" spans="2:6" s="32" customFormat="1" ht="15">
      <c r="B13" s="20">
        <f t="shared" si="0"/>
        <v>5</v>
      </c>
      <c r="C13" s="37" t="s">
        <v>15</v>
      </c>
      <c r="D13" s="125">
        <f>D9+D11-D12</f>
        <v>0</v>
      </c>
      <c r="E13" s="125">
        <f t="shared" ref="E13" si="2">E9+E11-E12</f>
        <v>38.123999999999995</v>
      </c>
      <c r="F13" s="125">
        <f>F9+F11-F12</f>
        <v>38.123999999999995</v>
      </c>
    </row>
    <row r="14" spans="2:6" s="32" customFormat="1" ht="15">
      <c r="B14" s="20"/>
      <c r="C14" s="68" t="s">
        <v>270</v>
      </c>
      <c r="D14" s="67"/>
      <c r="E14" s="29"/>
      <c r="F14" s="3"/>
    </row>
    <row r="15" spans="2:6" s="32" customFormat="1" ht="15">
      <c r="B15" s="20">
        <f>B13+1</f>
        <v>6</v>
      </c>
      <c r="C15" s="37" t="s">
        <v>271</v>
      </c>
      <c r="D15" s="165">
        <v>0.115</v>
      </c>
      <c r="E15" s="165">
        <v>0.155</v>
      </c>
      <c r="F15" s="165">
        <v>0.155</v>
      </c>
    </row>
    <row r="16" spans="2:6" s="32" customFormat="1" ht="15">
      <c r="B16" s="20">
        <f>B15+1</f>
        <v>7</v>
      </c>
      <c r="C16" s="37" t="s">
        <v>272</v>
      </c>
      <c r="D16" s="166">
        <v>0.25168000000000001</v>
      </c>
      <c r="E16" s="166">
        <v>0.25168000000000001</v>
      </c>
      <c r="F16" s="166">
        <v>0.25168000000000001</v>
      </c>
    </row>
    <row r="17" spans="2:6" s="32" customFormat="1" ht="15">
      <c r="B17" s="20">
        <f>B16+1</f>
        <v>8</v>
      </c>
      <c r="C17" s="30" t="s">
        <v>270</v>
      </c>
      <c r="D17" s="167">
        <f>D15/(1-D16)</f>
        <v>0.15367757109258073</v>
      </c>
      <c r="E17" s="167">
        <f t="shared" ref="E17:F17" si="3">E15/(1-E16)</f>
        <v>0.20713063929869574</v>
      </c>
      <c r="F17" s="167">
        <f t="shared" si="3"/>
        <v>0.20713063929869574</v>
      </c>
    </row>
    <row r="18" spans="2:6" ht="15">
      <c r="B18" s="20"/>
      <c r="C18" s="68" t="s">
        <v>164</v>
      </c>
      <c r="D18" s="108"/>
      <c r="E18" s="29"/>
      <c r="F18" s="3"/>
    </row>
    <row r="19" spans="2:6" ht="17.25" customHeight="1">
      <c r="B19" s="20">
        <f>B17+1</f>
        <v>9</v>
      </c>
      <c r="C19" s="66" t="s">
        <v>207</v>
      </c>
      <c r="D19" s="109">
        <f>D9*D17</f>
        <v>0</v>
      </c>
      <c r="E19" s="109">
        <f t="shared" ref="E19:F19" si="4">E9*E17</f>
        <v>7.8966484926234752</v>
      </c>
      <c r="F19" s="109">
        <f t="shared" si="4"/>
        <v>7.8966484926234752</v>
      </c>
    </row>
    <row r="20" spans="2:6" ht="18.75" customHeight="1">
      <c r="B20" s="20">
        <f t="shared" si="0"/>
        <v>10</v>
      </c>
      <c r="C20" s="66" t="s">
        <v>208</v>
      </c>
      <c r="D20" s="109">
        <f>AVERAGE(D9,D13)*D17-D19</f>
        <v>0</v>
      </c>
      <c r="E20" s="109">
        <f t="shared" ref="E20:F20" si="5">AVERAGE(E9,E13)*E17-E19</f>
        <v>0</v>
      </c>
      <c r="F20" s="109">
        <f t="shared" si="5"/>
        <v>0</v>
      </c>
    </row>
    <row r="21" spans="2:6" ht="15">
      <c r="B21" s="20">
        <f t="shared" si="0"/>
        <v>11</v>
      </c>
      <c r="C21" s="39" t="s">
        <v>165</v>
      </c>
      <c r="D21" s="109">
        <v>1.03</v>
      </c>
      <c r="E21" s="109">
        <f>ROUND((E19+E20),2)</f>
        <v>7.9</v>
      </c>
      <c r="F21" s="109">
        <f>ROUND((F19+F20),2)</f>
        <v>7.9</v>
      </c>
    </row>
    <row r="22" spans="2:6" ht="15">
      <c r="C22" s="5" t="s">
        <v>220</v>
      </c>
      <c r="E22" s="236">
        <f>ROUND(E21*64/365,2)</f>
        <v>1.39</v>
      </c>
      <c r="F22" s="236">
        <f>E22</f>
        <v>1.39</v>
      </c>
    </row>
    <row r="23" spans="2:6" ht="36" customHeight="1">
      <c r="C23" s="273" t="s">
        <v>379</v>
      </c>
      <c r="D23" s="273"/>
      <c r="E23" s="273"/>
      <c r="F23" s="273"/>
    </row>
  </sheetData>
  <mergeCells count="7">
    <mergeCell ref="B2:F2"/>
    <mergeCell ref="C23:F23"/>
    <mergeCell ref="B6:B8"/>
    <mergeCell ref="C6:C8"/>
    <mergeCell ref="D6:F6"/>
    <mergeCell ref="B4:F4"/>
    <mergeCell ref="B3:F3"/>
  </mergeCells>
  <pageMargins left="1.02" right="0.25" top="1" bottom="1" header="0.25" footer="0.2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F29"/>
  <sheetViews>
    <sheetView showGridLines="0" view="pageBreakPreview" topLeftCell="A4" zoomScale="90" zoomScaleNormal="112" zoomScaleSheetLayoutView="90" workbookViewId="0">
      <selection activeCell="H17" sqref="H17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9" width="11.7109375" style="5" bestFit="1" customWidth="1"/>
    <col min="10" max="16384" width="9.28515625" style="5"/>
  </cols>
  <sheetData>
    <row r="2" spans="2:6" ht="15">
      <c r="C2" s="35" t="s">
        <v>381</v>
      </c>
    </row>
    <row r="3" spans="2:6" ht="15">
      <c r="C3" s="35" t="s">
        <v>467</v>
      </c>
    </row>
    <row r="4" spans="2:6" ht="15">
      <c r="B4" s="33"/>
      <c r="C4" s="35" t="s">
        <v>273</v>
      </c>
      <c r="D4" s="25"/>
      <c r="F4" s="25"/>
    </row>
    <row r="5" spans="2:6" ht="15">
      <c r="F5" s="26" t="s">
        <v>4</v>
      </c>
    </row>
    <row r="6" spans="2:6" s="13" customFormat="1" ht="15" customHeight="1">
      <c r="B6" s="252" t="s">
        <v>175</v>
      </c>
      <c r="C6" s="255" t="s">
        <v>12</v>
      </c>
      <c r="D6" s="259" t="s">
        <v>382</v>
      </c>
      <c r="E6" s="260"/>
      <c r="F6" s="261"/>
    </row>
    <row r="7" spans="2:6" s="13" customFormat="1" ht="30">
      <c r="B7" s="253"/>
      <c r="C7" s="255"/>
      <c r="D7" s="15" t="s">
        <v>349</v>
      </c>
      <c r="E7" s="15" t="s">
        <v>218</v>
      </c>
      <c r="F7" s="15" t="s">
        <v>190</v>
      </c>
    </row>
    <row r="8" spans="2:6" s="13" customFormat="1" ht="15">
      <c r="B8" s="254"/>
      <c r="C8" s="256"/>
      <c r="D8" s="15" t="s">
        <v>8</v>
      </c>
      <c r="E8" s="15" t="s">
        <v>10</v>
      </c>
      <c r="F8" s="15" t="s">
        <v>211</v>
      </c>
    </row>
    <row r="9" spans="2:6" s="13" customFormat="1">
      <c r="B9" s="59">
        <v>1</v>
      </c>
      <c r="C9" s="168" t="s">
        <v>401</v>
      </c>
      <c r="D9" s="149"/>
      <c r="E9" s="188">
        <v>2.256948311190916E-2</v>
      </c>
      <c r="F9" s="189">
        <v>2.256948311190916E-2</v>
      </c>
    </row>
    <row r="10" spans="2:6" s="13" customFormat="1">
      <c r="B10" s="59">
        <f>B9+1</f>
        <v>2</v>
      </c>
      <c r="C10" s="168" t="s">
        <v>400</v>
      </c>
      <c r="D10" s="149"/>
      <c r="E10" s="188">
        <v>5.7915637338857651E-3</v>
      </c>
      <c r="F10" s="189">
        <v>5.7915637338857651E-3</v>
      </c>
    </row>
    <row r="11" spans="2:6" s="13" customFormat="1">
      <c r="B11" s="59">
        <f>B10+1</f>
        <v>3</v>
      </c>
      <c r="C11" s="168" t="s">
        <v>399</v>
      </c>
      <c r="D11" s="149"/>
      <c r="E11" s="188">
        <v>3.7154695733324493E-2</v>
      </c>
      <c r="F11" s="189">
        <v>3.7154695733324493E-2</v>
      </c>
    </row>
    <row r="12" spans="2:6" s="13" customFormat="1">
      <c r="B12" s="169">
        <f t="shared" ref="B12:B27" si="0">B11+1</f>
        <v>4</v>
      </c>
      <c r="C12" s="168" t="s">
        <v>412</v>
      </c>
      <c r="D12" s="149"/>
      <c r="E12" s="188">
        <v>2.16E-3</v>
      </c>
      <c r="F12" s="189">
        <v>2.16E-3</v>
      </c>
    </row>
    <row r="13" spans="2:6" s="13" customFormat="1">
      <c r="B13" s="169">
        <f t="shared" si="0"/>
        <v>5</v>
      </c>
      <c r="C13" s="168" t="s">
        <v>409</v>
      </c>
      <c r="D13" s="150"/>
      <c r="E13" s="188">
        <v>0.10767810321775842</v>
      </c>
      <c r="F13" s="189">
        <v>0.10767810321775842</v>
      </c>
    </row>
    <row r="14" spans="2:6" s="13" customFormat="1">
      <c r="B14" s="169">
        <f t="shared" si="0"/>
        <v>6</v>
      </c>
      <c r="C14" s="168" t="s">
        <v>395</v>
      </c>
      <c r="D14" s="150"/>
      <c r="E14" s="188">
        <v>0.3469583262947083</v>
      </c>
      <c r="F14" s="189">
        <v>0.3469583262947083</v>
      </c>
    </row>
    <row r="15" spans="2:6" s="13" customFormat="1">
      <c r="B15" s="169">
        <f t="shared" si="0"/>
        <v>7</v>
      </c>
      <c r="C15" s="168" t="s">
        <v>408</v>
      </c>
      <c r="D15" s="150"/>
      <c r="E15" s="188">
        <v>0.15184978400000002</v>
      </c>
      <c r="F15" s="189">
        <v>0.15184978400000002</v>
      </c>
    </row>
    <row r="16" spans="2:6" s="13" customFormat="1">
      <c r="B16" s="169">
        <f t="shared" si="0"/>
        <v>8</v>
      </c>
      <c r="C16" s="168" t="s">
        <v>403</v>
      </c>
      <c r="D16" s="150"/>
      <c r="E16" s="188">
        <v>2.4953316216774653E-2</v>
      </c>
      <c r="F16" s="189">
        <v>2.4953316216774653E-2</v>
      </c>
    </row>
    <row r="17" spans="2:6" s="13" customFormat="1">
      <c r="B17" s="169">
        <f t="shared" si="0"/>
        <v>9</v>
      </c>
      <c r="C17" s="168" t="s">
        <v>396</v>
      </c>
      <c r="D17" s="150"/>
      <c r="E17" s="188">
        <v>0.78970231906307975</v>
      </c>
      <c r="F17" s="189">
        <v>0.78970231906307975</v>
      </c>
    </row>
    <row r="18" spans="2:6" s="13" customFormat="1">
      <c r="B18" s="169">
        <f t="shared" si="0"/>
        <v>10</v>
      </c>
      <c r="C18" s="168" t="s">
        <v>449</v>
      </c>
      <c r="D18" s="150"/>
      <c r="E18" s="188">
        <v>0</v>
      </c>
      <c r="F18" s="189">
        <v>0</v>
      </c>
    </row>
    <row r="19" spans="2:6" s="13" customFormat="1">
      <c r="B19" s="169">
        <f t="shared" si="0"/>
        <v>11</v>
      </c>
      <c r="C19" s="168" t="s">
        <v>398</v>
      </c>
      <c r="D19" s="150"/>
      <c r="E19" s="188">
        <v>4.7018849000000001E-2</v>
      </c>
      <c r="F19" s="189">
        <v>4.7018849000000001E-2</v>
      </c>
    </row>
    <row r="20" spans="2:6" s="13" customFormat="1">
      <c r="B20" s="169">
        <f t="shared" si="0"/>
        <v>12</v>
      </c>
      <c r="C20" s="168" t="s">
        <v>397</v>
      </c>
      <c r="D20" s="150"/>
      <c r="E20" s="188">
        <v>0.118316</v>
      </c>
      <c r="F20" s="189">
        <v>0.118316</v>
      </c>
    </row>
    <row r="21" spans="2:6">
      <c r="B21" s="169">
        <f t="shared" si="0"/>
        <v>13</v>
      </c>
      <c r="C21" s="168" t="s">
        <v>402</v>
      </c>
      <c r="D21" s="150"/>
      <c r="E21" s="188">
        <v>2.0334545184001875E-4</v>
      </c>
      <c r="F21" s="189">
        <v>2.0334545184001875E-4</v>
      </c>
    </row>
    <row r="22" spans="2:6">
      <c r="B22" s="169">
        <f t="shared" si="0"/>
        <v>14</v>
      </c>
      <c r="C22" s="168" t="s">
        <v>406</v>
      </c>
      <c r="D22" s="150"/>
      <c r="E22" s="188">
        <v>2.9720699745361019E-2</v>
      </c>
      <c r="F22" s="189">
        <v>2.9720699745361019E-2</v>
      </c>
    </row>
    <row r="23" spans="2:6">
      <c r="B23" s="169">
        <f t="shared" si="0"/>
        <v>15</v>
      </c>
      <c r="C23" s="168" t="s">
        <v>410</v>
      </c>
      <c r="D23" s="150"/>
      <c r="E23" s="188">
        <v>1.2014933722780582E-2</v>
      </c>
      <c r="F23" s="189">
        <v>1.2014933722780582E-2</v>
      </c>
    </row>
    <row r="24" spans="2:6">
      <c r="B24" s="169">
        <f t="shared" si="0"/>
        <v>16</v>
      </c>
      <c r="C24" s="168" t="s">
        <v>411</v>
      </c>
      <c r="D24" s="150"/>
      <c r="E24" s="188">
        <v>1.210773662119946E-3</v>
      </c>
      <c r="F24" s="189">
        <v>1.210773662119946E-3</v>
      </c>
    </row>
    <row r="25" spans="2:6" ht="15.75" customHeight="1">
      <c r="B25" s="169">
        <f t="shared" si="0"/>
        <v>17</v>
      </c>
      <c r="C25" s="168" t="s">
        <v>407</v>
      </c>
      <c r="D25" s="151">
        <f>SUM(D9:D20)</f>
        <v>0</v>
      </c>
      <c r="E25" s="188">
        <v>9.4566601653127247E-2</v>
      </c>
      <c r="F25" s="189">
        <v>9.4566601653127247E-2</v>
      </c>
    </row>
    <row r="26" spans="2:6" s="32" customFormat="1" ht="15">
      <c r="B26" s="169">
        <f t="shared" si="0"/>
        <v>18</v>
      </c>
      <c r="C26" s="168" t="s">
        <v>405</v>
      </c>
      <c r="D26" s="151"/>
      <c r="E26" s="188">
        <v>5.8007207066486145E-5</v>
      </c>
      <c r="F26" s="189">
        <v>5.8007207066486145E-5</v>
      </c>
    </row>
    <row r="27" spans="2:6" s="32" customFormat="1" ht="15">
      <c r="B27" s="169">
        <f t="shared" si="0"/>
        <v>19</v>
      </c>
      <c r="C27" s="168" t="s">
        <v>404</v>
      </c>
      <c r="D27" s="151"/>
      <c r="E27" s="188">
        <v>3.2499999999999999E-3</v>
      </c>
      <c r="F27" s="189">
        <v>3.2499999999999999E-3</v>
      </c>
    </row>
    <row r="28" spans="2:6" s="32" customFormat="1" ht="12.75" customHeight="1">
      <c r="B28" s="169"/>
      <c r="C28" s="170"/>
      <c r="D28" s="151"/>
      <c r="E28" s="150"/>
      <c r="F28" s="150"/>
    </row>
    <row r="29" spans="2:6" ht="15">
      <c r="B29" s="20"/>
      <c r="C29" s="31" t="s">
        <v>133</v>
      </c>
      <c r="D29" s="109">
        <v>0.26</v>
      </c>
      <c r="E29" s="109">
        <f>ROUND(SUM(E9:E27),2)</f>
        <v>1.8</v>
      </c>
      <c r="F29" s="109">
        <f>ROUND(SUM(F9:F27),2)</f>
        <v>1.8</v>
      </c>
    </row>
  </sheetData>
  <mergeCells count="3">
    <mergeCell ref="B6:B8"/>
    <mergeCell ref="C6:C8"/>
    <mergeCell ref="D6:F6"/>
  </mergeCells>
  <pageMargins left="0.27" right="0.25" top="0.25" bottom="1" header="0.25" footer="0.25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31"/>
  <sheetViews>
    <sheetView showGridLines="0" view="pageBreakPreview" topLeftCell="A13" zoomScaleNormal="93" zoomScaleSheetLayoutView="100" workbookViewId="0">
      <selection sqref="A1:E27"/>
    </sheetView>
  </sheetViews>
  <sheetFormatPr defaultColWidth="9.28515625" defaultRowHeight="14.25"/>
  <cols>
    <col min="1" max="1" width="3.28515625" style="5" customWidth="1"/>
    <col min="2" max="2" width="8.28515625" style="5" customWidth="1"/>
    <col min="3" max="3" width="26.7109375" style="5" customWidth="1"/>
    <col min="4" max="4" width="27" style="5" customWidth="1"/>
    <col min="5" max="5" width="12.140625" style="5" customWidth="1"/>
    <col min="6" max="16384" width="9.28515625" style="5"/>
  </cols>
  <sheetData>
    <row r="2" spans="2:4" ht="15">
      <c r="C2" s="35" t="s">
        <v>381</v>
      </c>
      <c r="D2" s="35"/>
    </row>
    <row r="3" spans="2:4" ht="15">
      <c r="C3" s="35" t="s">
        <v>467</v>
      </c>
      <c r="D3" s="35"/>
    </row>
    <row r="4" spans="2:4" ht="14.25" customHeight="1">
      <c r="C4" s="35" t="s">
        <v>275</v>
      </c>
      <c r="D4" s="35"/>
    </row>
    <row r="5" spans="2:4" ht="15">
      <c r="B5" s="24"/>
      <c r="C5" s="35"/>
      <c r="D5" s="34"/>
    </row>
    <row r="6" spans="2:4" ht="15" customHeight="1">
      <c r="B6" s="31" t="s">
        <v>2</v>
      </c>
      <c r="C6" s="23" t="s">
        <v>12</v>
      </c>
      <c r="D6" s="186" t="s">
        <v>382</v>
      </c>
    </row>
    <row r="7" spans="2:4" ht="15">
      <c r="B7" s="31"/>
      <c r="C7" s="23"/>
      <c r="D7" s="15" t="s">
        <v>274</v>
      </c>
    </row>
    <row r="8" spans="2:4" ht="24.75" customHeight="1">
      <c r="B8" s="183"/>
      <c r="C8" s="184"/>
      <c r="D8" s="15" t="s">
        <v>3</v>
      </c>
    </row>
    <row r="9" spans="2:4" ht="15">
      <c r="B9" s="71">
        <v>1</v>
      </c>
      <c r="C9" s="72" t="s">
        <v>148</v>
      </c>
      <c r="D9" s="69"/>
    </row>
    <row r="10" spans="2:4" s="32" customFormat="1" ht="15">
      <c r="B10" s="73" t="s">
        <v>51</v>
      </c>
      <c r="C10" s="39" t="s">
        <v>52</v>
      </c>
      <c r="D10" s="74"/>
    </row>
    <row r="11" spans="2:4" s="32" customFormat="1" ht="15">
      <c r="B11" s="75"/>
      <c r="C11" s="29" t="s">
        <v>53</v>
      </c>
      <c r="D11" s="74"/>
    </row>
    <row r="12" spans="2:4" s="32" customFormat="1" ht="15">
      <c r="B12" s="75"/>
      <c r="C12" s="29" t="s">
        <v>54</v>
      </c>
      <c r="D12" s="74"/>
    </row>
    <row r="13" spans="2:4" s="32" customFormat="1" ht="15">
      <c r="B13" s="75"/>
      <c r="C13" s="29" t="s">
        <v>55</v>
      </c>
      <c r="D13" s="74" t="s">
        <v>446</v>
      </c>
    </row>
    <row r="14" spans="2:4" s="32" customFormat="1" ht="15">
      <c r="B14" s="75"/>
      <c r="C14" s="76"/>
      <c r="D14" s="74"/>
    </row>
    <row r="15" spans="2:4" s="32" customFormat="1" ht="15">
      <c r="B15" s="73" t="s">
        <v>56</v>
      </c>
      <c r="C15" s="77" t="s">
        <v>57</v>
      </c>
      <c r="D15" s="74"/>
    </row>
    <row r="16" spans="2:4" s="32" customFormat="1" ht="15">
      <c r="B16" s="75"/>
      <c r="C16" s="29" t="s">
        <v>53</v>
      </c>
      <c r="D16" s="74"/>
    </row>
    <row r="17" spans="2:4">
      <c r="B17" s="75"/>
      <c r="C17" s="29" t="s">
        <v>54</v>
      </c>
      <c r="D17" s="74"/>
    </row>
    <row r="18" spans="2:4">
      <c r="B18" s="78"/>
      <c r="C18" s="29" t="s">
        <v>58</v>
      </c>
      <c r="D18" s="74"/>
    </row>
    <row r="19" spans="2:4" ht="15">
      <c r="B19" s="78"/>
      <c r="C19" s="77"/>
      <c r="D19" s="74"/>
    </row>
    <row r="20" spans="2:4" ht="17.25" customHeight="1">
      <c r="B20" s="73">
        <v>2</v>
      </c>
      <c r="C20" s="72" t="s">
        <v>149</v>
      </c>
      <c r="D20" s="74"/>
    </row>
    <row r="21" spans="2:4" ht="17.25" customHeight="1">
      <c r="B21" s="73"/>
      <c r="C21" s="72" t="s">
        <v>59</v>
      </c>
      <c r="D21" s="74"/>
    </row>
    <row r="22" spans="2:4" ht="17.25" customHeight="1">
      <c r="B22" s="73"/>
      <c r="C22" s="72" t="s">
        <v>59</v>
      </c>
      <c r="D22" s="74"/>
    </row>
    <row r="23" spans="2:4" ht="15">
      <c r="B23" s="75"/>
      <c r="C23" s="77" t="s">
        <v>60</v>
      </c>
      <c r="D23" s="74"/>
    </row>
    <row r="25" spans="2:4" ht="15">
      <c r="B25" s="79" t="s">
        <v>48</v>
      </c>
      <c r="C25" s="80"/>
      <c r="D25" s="80"/>
    </row>
    <row r="26" spans="2:4">
      <c r="B26" s="5" t="s">
        <v>192</v>
      </c>
      <c r="D26" s="81"/>
    </row>
    <row r="27" spans="2:4" ht="18" customHeight="1">
      <c r="B27" s="80"/>
    </row>
    <row r="28" spans="2:4">
      <c r="B28" s="80"/>
      <c r="C28" s="80"/>
      <c r="D28" s="80"/>
    </row>
    <row r="29" spans="2:4">
      <c r="B29" s="80"/>
      <c r="C29" s="80"/>
      <c r="D29" s="80"/>
    </row>
    <row r="30" spans="2:4">
      <c r="B30" s="80"/>
      <c r="C30" s="80"/>
      <c r="D30" s="80"/>
    </row>
    <row r="31" spans="2:4">
      <c r="B31" s="80"/>
      <c r="C31" s="80"/>
      <c r="D31" s="80"/>
    </row>
  </sheetData>
  <pageMargins left="0.75" right="0.75" top="1" bottom="1" header="0.5" footer="0.5"/>
  <pageSetup paperSize="9" scale="97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48"/>
  <sheetViews>
    <sheetView showGridLines="0" tabSelected="1" view="pageBreakPreview" zoomScaleNormal="91" zoomScaleSheetLayoutView="100" workbookViewId="0">
      <selection activeCell="E10" sqref="E10:G41"/>
    </sheetView>
  </sheetViews>
  <sheetFormatPr defaultColWidth="9.28515625" defaultRowHeight="14.25"/>
  <cols>
    <col min="1" max="1" width="3.28515625" style="5" customWidth="1"/>
    <col min="2" max="2" width="6.28515625" style="5" customWidth="1"/>
    <col min="3" max="3" width="55.28515625" style="5" customWidth="1"/>
    <col min="4" max="4" width="11" style="34" customWidth="1"/>
    <col min="5" max="5" width="14" style="34" customWidth="1"/>
    <col min="6" max="6" width="12.140625" style="5" customWidth="1"/>
    <col min="7" max="7" width="15" style="5" customWidth="1"/>
    <col min="8" max="8" width="15.7109375" style="5" customWidth="1"/>
    <col min="9" max="16384" width="9.28515625" style="5"/>
  </cols>
  <sheetData>
    <row r="2" spans="2:8" ht="14.25" customHeight="1">
      <c r="B2" s="248" t="s">
        <v>381</v>
      </c>
      <c r="C2" s="248"/>
      <c r="D2" s="248"/>
      <c r="E2" s="248"/>
      <c r="F2" s="248"/>
      <c r="G2" s="248"/>
      <c r="H2" s="248"/>
    </row>
    <row r="3" spans="2:8" ht="14.25" customHeight="1">
      <c r="B3" s="248" t="s">
        <v>467</v>
      </c>
      <c r="C3" s="248"/>
      <c r="D3" s="248"/>
      <c r="E3" s="248"/>
      <c r="F3" s="248"/>
      <c r="G3" s="248"/>
      <c r="H3" s="248"/>
    </row>
    <row r="4" spans="2:8" s="13" customFormat="1" ht="14.25" customHeight="1">
      <c r="B4" s="248" t="s">
        <v>276</v>
      </c>
      <c r="C4" s="248"/>
      <c r="D4" s="248"/>
      <c r="E4" s="248"/>
      <c r="F4" s="248"/>
      <c r="G4" s="248"/>
      <c r="H4" s="248"/>
    </row>
    <row r="5" spans="2:8" s="13" customFormat="1" ht="15">
      <c r="C5" s="70"/>
      <c r="D5" s="34"/>
      <c r="E5" s="34"/>
      <c r="F5" s="221"/>
      <c r="G5" s="221"/>
    </row>
    <row r="6" spans="2:8" ht="15">
      <c r="B6" s="274" t="s">
        <v>175</v>
      </c>
      <c r="C6" s="276" t="s">
        <v>12</v>
      </c>
      <c r="D6" s="276" t="s">
        <v>33</v>
      </c>
      <c r="E6" s="259" t="s">
        <v>382</v>
      </c>
      <c r="F6" s="260"/>
      <c r="G6" s="261"/>
      <c r="H6" s="274" t="s">
        <v>9</v>
      </c>
    </row>
    <row r="7" spans="2:8" ht="30">
      <c r="B7" s="276"/>
      <c r="C7" s="276"/>
      <c r="D7" s="276"/>
      <c r="E7" s="186" t="s">
        <v>349</v>
      </c>
      <c r="F7" s="186" t="s">
        <v>218</v>
      </c>
      <c r="G7" s="186" t="s">
        <v>190</v>
      </c>
      <c r="H7" s="274"/>
    </row>
    <row r="8" spans="2:8" ht="15">
      <c r="B8" s="276"/>
      <c r="C8" s="276"/>
      <c r="D8" s="276"/>
      <c r="E8" s="186" t="s">
        <v>8</v>
      </c>
      <c r="F8" s="186" t="s">
        <v>3</v>
      </c>
      <c r="G8" s="186" t="s">
        <v>211</v>
      </c>
      <c r="H8" s="275"/>
    </row>
    <row r="9" spans="2:8" ht="15">
      <c r="B9" s="186"/>
      <c r="C9" s="222"/>
      <c r="D9" s="223"/>
      <c r="E9" s="223"/>
      <c r="F9" s="224"/>
      <c r="G9" s="224"/>
      <c r="H9" s="224"/>
    </row>
    <row r="10" spans="2:8">
      <c r="B10" s="225">
        <v>1</v>
      </c>
      <c r="C10" s="226" t="s">
        <v>194</v>
      </c>
      <c r="D10" s="225" t="s">
        <v>34</v>
      </c>
      <c r="E10" s="225">
        <v>62.5</v>
      </c>
      <c r="F10" s="289"/>
      <c r="G10" s="289"/>
      <c r="H10" s="224"/>
    </row>
    <row r="11" spans="2:8">
      <c r="B11" s="225"/>
      <c r="C11" s="226" t="s">
        <v>323</v>
      </c>
      <c r="D11" s="225"/>
      <c r="E11" s="225" t="s">
        <v>483</v>
      </c>
      <c r="F11" s="289"/>
      <c r="G11" s="289"/>
      <c r="H11" s="224"/>
    </row>
    <row r="12" spans="2:8" ht="13.5" customHeight="1">
      <c r="B12" s="225"/>
      <c r="C12" s="226" t="s">
        <v>202</v>
      </c>
      <c r="D12" s="225"/>
      <c r="E12" s="225" t="s">
        <v>484</v>
      </c>
      <c r="F12" s="289"/>
      <c r="G12" s="289"/>
      <c r="H12" s="224"/>
    </row>
    <row r="13" spans="2:8">
      <c r="B13" s="225"/>
      <c r="C13" s="226"/>
      <c r="D13" s="225"/>
      <c r="E13" s="225"/>
      <c r="F13" s="289"/>
      <c r="G13" s="289"/>
      <c r="H13" s="224"/>
    </row>
    <row r="14" spans="2:8" ht="15">
      <c r="B14" s="186">
        <v>2</v>
      </c>
      <c r="C14" s="222" t="s">
        <v>155</v>
      </c>
      <c r="D14" s="225"/>
      <c r="E14" s="225"/>
      <c r="F14" s="289"/>
      <c r="G14" s="289"/>
      <c r="H14" s="224"/>
    </row>
    <row r="15" spans="2:8">
      <c r="B15" s="225">
        <f>B14+0.1</f>
        <v>2.1</v>
      </c>
      <c r="C15" s="226" t="s">
        <v>35</v>
      </c>
      <c r="D15" s="225" t="s">
        <v>36</v>
      </c>
      <c r="E15" s="225">
        <v>85</v>
      </c>
      <c r="F15" s="225">
        <v>85</v>
      </c>
      <c r="G15" s="225">
        <v>85</v>
      </c>
      <c r="H15" s="224"/>
    </row>
    <row r="16" spans="2:8">
      <c r="B16" s="225">
        <f>B15+0.1</f>
        <v>2.2000000000000002</v>
      </c>
      <c r="C16" s="226" t="s">
        <v>140</v>
      </c>
      <c r="D16" s="225" t="s">
        <v>36</v>
      </c>
      <c r="E16" s="225"/>
      <c r="F16" s="290">
        <v>20.58</v>
      </c>
      <c r="G16" s="289">
        <f>F16</f>
        <v>20.58</v>
      </c>
      <c r="H16" s="224"/>
    </row>
    <row r="17" spans="2:8">
      <c r="B17" s="225"/>
      <c r="C17" s="226"/>
      <c r="D17" s="225"/>
      <c r="E17" s="225"/>
      <c r="F17" s="289"/>
      <c r="G17" s="289"/>
      <c r="H17" s="224"/>
    </row>
    <row r="18" spans="2:8" ht="15">
      <c r="B18" s="186">
        <v>3</v>
      </c>
      <c r="C18" s="222" t="s">
        <v>156</v>
      </c>
      <c r="D18" s="225"/>
      <c r="E18" s="225"/>
      <c r="F18" s="289"/>
      <c r="G18" s="289"/>
      <c r="H18" s="224"/>
    </row>
    <row r="19" spans="2:8">
      <c r="B19" s="225">
        <f>B18+0.1</f>
        <v>3.1</v>
      </c>
      <c r="C19" s="226" t="s">
        <v>37</v>
      </c>
      <c r="D19" s="225" t="s">
        <v>36</v>
      </c>
      <c r="E19" s="225">
        <v>85</v>
      </c>
      <c r="F19" s="225">
        <v>85</v>
      </c>
      <c r="G19" s="225">
        <v>85</v>
      </c>
      <c r="H19" s="224"/>
    </row>
    <row r="20" spans="2:8">
      <c r="B20" s="225">
        <f>B19+0.1</f>
        <v>3.2</v>
      </c>
      <c r="C20" s="226" t="s">
        <v>141</v>
      </c>
      <c r="D20" s="225" t="s">
        <v>36</v>
      </c>
      <c r="E20" s="225"/>
      <c r="F20" s="225">
        <v>21.97</v>
      </c>
      <c r="G20" s="225">
        <v>21.97</v>
      </c>
      <c r="H20" s="224"/>
    </row>
    <row r="21" spans="2:8">
      <c r="B21" s="225"/>
      <c r="C21" s="226"/>
      <c r="D21" s="225"/>
      <c r="E21" s="225"/>
      <c r="F21" s="225"/>
      <c r="G21" s="225"/>
      <c r="H21" s="224"/>
    </row>
    <row r="22" spans="2:8" ht="15">
      <c r="B22" s="186">
        <v>4</v>
      </c>
      <c r="C22" s="222" t="s">
        <v>50</v>
      </c>
      <c r="D22" s="225"/>
      <c r="E22" s="225"/>
      <c r="G22" s="225"/>
      <c r="H22" s="224"/>
    </row>
    <row r="23" spans="2:8" ht="15.75">
      <c r="B23" s="225">
        <f>B22+0.1</f>
        <v>4.0999999999999996</v>
      </c>
      <c r="C23" s="226" t="s">
        <v>38</v>
      </c>
      <c r="D23" s="225" t="s">
        <v>39</v>
      </c>
      <c r="E23" s="225"/>
      <c r="F23" s="227">
        <v>16.143190000000001</v>
      </c>
      <c r="G23" s="291">
        <f>F23</f>
        <v>16.143190000000001</v>
      </c>
      <c r="H23" s="224"/>
    </row>
    <row r="24" spans="2:8">
      <c r="B24" s="225">
        <f>B23+0.1</f>
        <v>4.1999999999999993</v>
      </c>
      <c r="C24" s="228" t="s">
        <v>142</v>
      </c>
      <c r="D24" s="225" t="s">
        <v>39</v>
      </c>
      <c r="E24" s="225"/>
      <c r="F24" s="291">
        <v>21.092507999999999</v>
      </c>
      <c r="G24" s="291">
        <f>F24</f>
        <v>21.092507999999999</v>
      </c>
      <c r="H24" s="224"/>
    </row>
    <row r="25" spans="2:8">
      <c r="B25" s="225"/>
      <c r="C25" s="228"/>
      <c r="D25" s="225"/>
      <c r="E25" s="225"/>
      <c r="F25" s="225"/>
      <c r="G25" s="225"/>
      <c r="H25" s="224"/>
    </row>
    <row r="26" spans="2:8" ht="15">
      <c r="B26" s="186">
        <v>5</v>
      </c>
      <c r="C26" s="229" t="s">
        <v>153</v>
      </c>
      <c r="D26" s="225"/>
      <c r="E26" s="225"/>
      <c r="F26" s="225"/>
      <c r="G26" s="225"/>
      <c r="H26" s="224"/>
    </row>
    <row r="27" spans="2:8">
      <c r="B27" s="225">
        <f>B26+0.1</f>
        <v>5.0999999999999996</v>
      </c>
      <c r="C27" s="228" t="s">
        <v>40</v>
      </c>
      <c r="D27" s="225" t="s">
        <v>36</v>
      </c>
      <c r="E27" s="225">
        <v>10</v>
      </c>
      <c r="F27" s="225">
        <v>10</v>
      </c>
      <c r="G27" s="225">
        <v>10</v>
      </c>
      <c r="H27" s="224"/>
    </row>
    <row r="28" spans="2:8" ht="16.5" customHeight="1">
      <c r="B28" s="225">
        <f>B27+0.1</f>
        <v>5.1999999999999993</v>
      </c>
      <c r="C28" s="228" t="s">
        <v>143</v>
      </c>
      <c r="D28" s="225" t="s">
        <v>36</v>
      </c>
      <c r="E28" s="225"/>
      <c r="F28" s="291">
        <f>F29/F24*100</f>
        <v>23.464815089793962</v>
      </c>
      <c r="G28" s="291">
        <f>F28</f>
        <v>23.464815089793962</v>
      </c>
      <c r="H28" s="224"/>
    </row>
    <row r="29" spans="2:8" ht="16.5" customHeight="1">
      <c r="B29" s="225">
        <f>B28+0.1</f>
        <v>5.2999999999999989</v>
      </c>
      <c r="C29" s="228" t="s">
        <v>143</v>
      </c>
      <c r="D29" s="225" t="s">
        <v>39</v>
      </c>
      <c r="E29" s="225"/>
      <c r="F29" s="291">
        <f>F24-F23</f>
        <v>4.9493179999999981</v>
      </c>
      <c r="G29" s="291">
        <f>F29</f>
        <v>4.9493179999999981</v>
      </c>
      <c r="H29" s="224"/>
    </row>
    <row r="30" spans="2:8">
      <c r="B30" s="225">
        <f>B29+0.1</f>
        <v>5.3999999999999986</v>
      </c>
      <c r="C30" s="228" t="s">
        <v>41</v>
      </c>
      <c r="D30" s="225" t="s">
        <v>39</v>
      </c>
      <c r="E30" s="225"/>
      <c r="F30" s="291">
        <f>F23</f>
        <v>16.143190000000001</v>
      </c>
      <c r="G30" s="291">
        <f>F30</f>
        <v>16.143190000000001</v>
      </c>
      <c r="H30" s="224"/>
    </row>
    <row r="31" spans="2:8">
      <c r="B31" s="225"/>
      <c r="C31" s="228"/>
      <c r="D31" s="225"/>
      <c r="E31" s="225"/>
      <c r="F31" s="225"/>
      <c r="G31" s="225"/>
      <c r="H31" s="224"/>
    </row>
    <row r="32" spans="2:8" ht="15">
      <c r="B32" s="186">
        <v>6</v>
      </c>
      <c r="C32" s="229" t="s">
        <v>189</v>
      </c>
      <c r="D32" s="225"/>
      <c r="E32" s="225"/>
      <c r="F32" s="225"/>
      <c r="G32" s="225"/>
      <c r="H32" s="224"/>
    </row>
    <row r="33" spans="2:8">
      <c r="B33" s="225">
        <f>B32+0.1</f>
        <v>6.1</v>
      </c>
      <c r="C33" s="228" t="s">
        <v>42</v>
      </c>
      <c r="D33" s="225" t="s">
        <v>43</v>
      </c>
      <c r="E33" s="225">
        <v>3000</v>
      </c>
      <c r="F33" s="225">
        <v>3000</v>
      </c>
      <c r="G33" s="225">
        <v>3000</v>
      </c>
      <c r="H33" s="224"/>
    </row>
    <row r="34" spans="2:8">
      <c r="B34" s="225">
        <f>B33+0.1</f>
        <v>6.1999999999999993</v>
      </c>
      <c r="C34" s="226" t="s">
        <v>144</v>
      </c>
      <c r="D34" s="225" t="s">
        <v>43</v>
      </c>
      <c r="E34" s="225"/>
      <c r="F34" s="292">
        <v>3634.887661012147</v>
      </c>
      <c r="G34" s="292">
        <f>F34</f>
        <v>3634.887661012147</v>
      </c>
      <c r="H34" s="224"/>
    </row>
    <row r="35" spans="2:8">
      <c r="B35" s="225"/>
      <c r="C35" s="226"/>
      <c r="D35" s="225"/>
      <c r="E35" s="225"/>
      <c r="F35" s="225"/>
      <c r="G35" s="225"/>
      <c r="H35" s="224"/>
    </row>
    <row r="36" spans="2:8" ht="15">
      <c r="B36" s="186">
        <v>7</v>
      </c>
      <c r="C36" s="222" t="s">
        <v>157</v>
      </c>
      <c r="D36" s="225"/>
      <c r="E36" s="225"/>
      <c r="F36" s="225"/>
      <c r="G36" s="225"/>
      <c r="H36" s="224"/>
    </row>
    <row r="37" spans="2:8">
      <c r="B37" s="225">
        <f>B36+0.1</f>
        <v>7.1</v>
      </c>
      <c r="C37" s="226" t="s">
        <v>44</v>
      </c>
      <c r="D37" s="225" t="s">
        <v>45</v>
      </c>
      <c r="E37" s="225">
        <v>0.5</v>
      </c>
      <c r="F37" s="225">
        <v>0.5</v>
      </c>
      <c r="G37" s="225">
        <v>0.5</v>
      </c>
      <c r="H37" s="224"/>
    </row>
    <row r="38" spans="2:8">
      <c r="B38" s="225">
        <f>B37+0.1</f>
        <v>7.1999999999999993</v>
      </c>
      <c r="C38" s="226" t="s">
        <v>145</v>
      </c>
      <c r="D38" s="225" t="s">
        <v>45</v>
      </c>
      <c r="E38" s="225"/>
      <c r="F38" s="291">
        <v>17.299175612497102</v>
      </c>
      <c r="G38" s="291">
        <f>F38</f>
        <v>17.299175612497102</v>
      </c>
      <c r="H38" s="224"/>
    </row>
    <row r="39" spans="2:8">
      <c r="B39" s="225"/>
      <c r="C39" s="226"/>
      <c r="D39" s="225"/>
      <c r="E39" s="225"/>
      <c r="F39" s="225"/>
      <c r="G39" s="225"/>
      <c r="H39" s="224"/>
    </row>
    <row r="40" spans="2:8" ht="15">
      <c r="B40" s="186">
        <v>8</v>
      </c>
      <c r="C40" s="222" t="s">
        <v>47</v>
      </c>
      <c r="D40" s="225"/>
      <c r="E40" s="225"/>
      <c r="F40" s="225"/>
      <c r="G40" s="225"/>
      <c r="H40" s="224"/>
    </row>
    <row r="41" spans="2:8">
      <c r="B41" s="225">
        <f>B40+0.1</f>
        <v>8.1</v>
      </c>
      <c r="C41" s="226" t="s">
        <v>46</v>
      </c>
      <c r="D41" s="225" t="s">
        <v>36</v>
      </c>
      <c r="E41" s="225">
        <v>0.8</v>
      </c>
      <c r="F41" s="225">
        <v>0.8</v>
      </c>
      <c r="G41" s="225">
        <v>0.8</v>
      </c>
      <c r="H41" s="224"/>
    </row>
    <row r="42" spans="2:8" ht="15">
      <c r="B42" s="225">
        <f>B41+0.1</f>
        <v>8.1999999999999993</v>
      </c>
      <c r="C42" s="226" t="s">
        <v>146</v>
      </c>
      <c r="D42" s="225" t="s">
        <v>36</v>
      </c>
      <c r="E42" s="225"/>
      <c r="F42" s="186"/>
      <c r="G42" s="186"/>
      <c r="H42" s="224"/>
    </row>
    <row r="43" spans="2:8" ht="15">
      <c r="B43" s="186"/>
      <c r="C43" s="222"/>
      <c r="D43" s="223"/>
      <c r="E43" s="223"/>
      <c r="F43" s="186"/>
      <c r="G43" s="186"/>
      <c r="H43" s="224"/>
    </row>
    <row r="44" spans="2:8" ht="15">
      <c r="B44" s="38"/>
      <c r="C44" s="82"/>
      <c r="D44" s="230"/>
      <c r="E44" s="230"/>
      <c r="F44" s="38"/>
      <c r="G44" s="38"/>
    </row>
    <row r="45" spans="2:8" ht="16.5">
      <c r="D45" s="231"/>
      <c r="E45" s="231"/>
      <c r="F45" s="232"/>
      <c r="G45" s="232"/>
    </row>
    <row r="46" spans="2:8" ht="16.5">
      <c r="B46" s="13"/>
      <c r="F46" s="232"/>
      <c r="G46" s="232"/>
    </row>
    <row r="47" spans="2:8" ht="16.5">
      <c r="C47" s="46"/>
      <c r="F47" s="232"/>
      <c r="G47" s="232"/>
    </row>
    <row r="48" spans="2:8">
      <c r="F48" s="233"/>
      <c r="G48" s="233"/>
    </row>
  </sheetData>
  <mergeCells count="8">
    <mergeCell ref="B2:H2"/>
    <mergeCell ref="B3:H3"/>
    <mergeCell ref="B4:H4"/>
    <mergeCell ref="H6:H8"/>
    <mergeCell ref="B6:B8"/>
    <mergeCell ref="C6:C8"/>
    <mergeCell ref="D6:D8"/>
    <mergeCell ref="E6:G6"/>
  </mergeCells>
  <pageMargins left="1.41" right="0.5" top="0.43" bottom="0.63" header="0.5" footer="0.5"/>
  <pageSetup paperSize="9" scale="84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B2:T52"/>
  <sheetViews>
    <sheetView showGridLines="0" showWhiteSpace="0" view="pageBreakPreview" topLeftCell="A39" zoomScale="89" zoomScaleNormal="91" zoomScaleSheetLayoutView="89" zoomScalePageLayoutView="48" workbookViewId="0">
      <selection activeCell="A49" sqref="A49:XFD52"/>
    </sheetView>
  </sheetViews>
  <sheetFormatPr defaultColWidth="9.28515625" defaultRowHeight="14.25"/>
  <cols>
    <col min="1" max="1" width="2.28515625" style="83" customWidth="1"/>
    <col min="2" max="2" width="9.28515625" style="83"/>
    <col min="3" max="3" width="57.5703125" style="238" customWidth="1"/>
    <col min="4" max="4" width="8.42578125" style="212" customWidth="1"/>
    <col min="5" max="5" width="11.85546875" style="83" bestFit="1" customWidth="1"/>
    <col min="6" max="6" width="9.5703125" style="83" bestFit="1" customWidth="1"/>
    <col min="7" max="7" width="10.7109375" style="83" bestFit="1" customWidth="1"/>
    <col min="8" max="10" width="9.5703125" style="83" hidden="1" customWidth="1"/>
    <col min="11" max="12" width="10.7109375" style="83" hidden="1" customWidth="1"/>
    <col min="13" max="13" width="9.5703125" style="83" hidden="1" customWidth="1"/>
    <col min="14" max="14" width="10.7109375" style="83" hidden="1" customWidth="1"/>
    <col min="15" max="15" width="9.5703125" style="83" hidden="1" customWidth="1"/>
    <col min="16" max="17" width="10.7109375" style="83" hidden="1" customWidth="1"/>
    <col min="18" max="20" width="9.5703125" style="83" hidden="1" customWidth="1"/>
    <col min="21" max="16384" width="9.28515625" style="83"/>
  </cols>
  <sheetData>
    <row r="2" spans="2:20" ht="14.25" customHeight="1">
      <c r="B2" s="248" t="s">
        <v>381</v>
      </c>
      <c r="C2" s="248"/>
      <c r="D2" s="248"/>
      <c r="E2" s="248"/>
      <c r="F2" s="248"/>
      <c r="G2" s="248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</row>
    <row r="3" spans="2:20" ht="14.25" customHeight="1">
      <c r="B3" s="248" t="s">
        <v>467</v>
      </c>
      <c r="C3" s="248"/>
      <c r="D3" s="248"/>
      <c r="E3" s="248"/>
      <c r="F3" s="248"/>
      <c r="G3" s="248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</row>
    <row r="4" spans="2:20" ht="14.25" customHeight="1">
      <c r="B4" s="248" t="s">
        <v>324</v>
      </c>
      <c r="C4" s="248"/>
      <c r="D4" s="248"/>
      <c r="E4" s="248"/>
      <c r="F4" s="248"/>
      <c r="G4" s="248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</row>
    <row r="6" spans="2:20" ht="15">
      <c r="B6" s="278" t="s">
        <v>175</v>
      </c>
      <c r="C6" s="279" t="s">
        <v>12</v>
      </c>
      <c r="D6" s="278" t="s">
        <v>33</v>
      </c>
      <c r="E6" s="196" t="s">
        <v>382</v>
      </c>
      <c r="F6" s="196"/>
      <c r="G6" s="196"/>
      <c r="H6" s="196"/>
      <c r="I6" s="196"/>
      <c r="J6" s="196"/>
      <c r="K6" s="196"/>
      <c r="L6" s="196"/>
      <c r="M6" s="196"/>
      <c r="N6" s="196"/>
      <c r="O6" s="278" t="s">
        <v>382</v>
      </c>
      <c r="P6" s="278"/>
      <c r="Q6" s="278"/>
      <c r="R6" s="278"/>
      <c r="S6" s="278"/>
      <c r="T6" s="278"/>
    </row>
    <row r="7" spans="2:20" ht="15">
      <c r="B7" s="278"/>
      <c r="C7" s="279"/>
      <c r="D7" s="278"/>
      <c r="E7" s="195" t="s">
        <v>135</v>
      </c>
      <c r="F7" s="195" t="s">
        <v>136</v>
      </c>
      <c r="G7" s="195" t="s">
        <v>137</v>
      </c>
      <c r="H7" s="195" t="s">
        <v>476</v>
      </c>
      <c r="I7" s="195" t="s">
        <v>477</v>
      </c>
      <c r="J7" s="195" t="s">
        <v>478</v>
      </c>
      <c r="K7" s="195" t="s">
        <v>479</v>
      </c>
      <c r="L7" s="195" t="s">
        <v>480</v>
      </c>
      <c r="M7" s="195" t="s">
        <v>481</v>
      </c>
      <c r="N7" s="195" t="s">
        <v>482</v>
      </c>
      <c r="O7" s="195" t="s">
        <v>135</v>
      </c>
      <c r="P7" s="195" t="s">
        <v>136</v>
      </c>
      <c r="Q7" s="195" t="s">
        <v>137</v>
      </c>
      <c r="R7" s="195" t="s">
        <v>474</v>
      </c>
      <c r="S7" s="195" t="s">
        <v>475</v>
      </c>
      <c r="T7" s="195" t="s">
        <v>476</v>
      </c>
    </row>
    <row r="8" spans="2:20" ht="15">
      <c r="B8" s="195" t="s">
        <v>61</v>
      </c>
      <c r="C8" s="237" t="s">
        <v>281</v>
      </c>
      <c r="E8" s="198"/>
      <c r="F8" s="198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98"/>
      <c r="R8" s="198"/>
      <c r="S8" s="198"/>
      <c r="T8" s="198"/>
    </row>
    <row r="9" spans="2:20">
      <c r="B9" s="197">
        <v>1</v>
      </c>
      <c r="C9" s="215" t="s">
        <v>282</v>
      </c>
      <c r="D9" s="197" t="s">
        <v>284</v>
      </c>
      <c r="E9" s="200">
        <v>6875.7099999999</v>
      </c>
      <c r="F9" s="200">
        <v>3888.7699999999058</v>
      </c>
      <c r="G9" s="200">
        <v>4434.6599999999089</v>
      </c>
      <c r="H9" s="200"/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</row>
    <row r="10" spans="2:20">
      <c r="B10" s="197">
        <f>B9+1</f>
        <v>2</v>
      </c>
      <c r="C10" s="215" t="s">
        <v>283</v>
      </c>
      <c r="D10" s="199" t="s">
        <v>416</v>
      </c>
      <c r="E10" s="201">
        <v>3.4548099754536601</v>
      </c>
      <c r="F10" s="201">
        <v>2.0870785902215161</v>
      </c>
      <c r="G10" s="201">
        <v>2.3090380432522704</v>
      </c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</row>
    <row r="11" spans="2:20" ht="15">
      <c r="B11" s="195" t="s">
        <v>65</v>
      </c>
      <c r="C11" s="237" t="s">
        <v>285</v>
      </c>
      <c r="D11" s="197"/>
      <c r="E11" s="200"/>
      <c r="F11" s="200"/>
      <c r="G11" s="200"/>
      <c r="H11" s="200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</row>
    <row r="12" spans="2:20">
      <c r="B12" s="197">
        <f>B10+1</f>
        <v>3</v>
      </c>
      <c r="C12" s="215" t="s">
        <v>286</v>
      </c>
      <c r="D12" s="197" t="s">
        <v>284</v>
      </c>
      <c r="E12" s="200">
        <v>6765.32</v>
      </c>
      <c r="F12" s="200">
        <v>10428.040000000001</v>
      </c>
      <c r="G12" s="200">
        <v>0</v>
      </c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</row>
    <row r="13" spans="2:20" ht="28.5">
      <c r="B13" s="197">
        <f>B12+1</f>
        <v>4</v>
      </c>
      <c r="C13" s="215" t="s">
        <v>374</v>
      </c>
      <c r="D13" s="197" t="s">
        <v>284</v>
      </c>
      <c r="E13" s="200"/>
      <c r="F13" s="200"/>
      <c r="G13" s="200"/>
      <c r="H13" s="200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</row>
    <row r="14" spans="2:20" ht="15">
      <c r="B14" s="197">
        <f>B13+1</f>
        <v>5</v>
      </c>
      <c r="C14" s="215" t="s">
        <v>287</v>
      </c>
      <c r="D14" s="197" t="s">
        <v>284</v>
      </c>
      <c r="E14" s="213">
        <f>E12+E13</f>
        <v>6765.32</v>
      </c>
      <c r="F14" s="213">
        <f t="shared" ref="F14:G14" si="0">F12+F13</f>
        <v>10428.040000000001</v>
      </c>
      <c r="G14" s="213">
        <f t="shared" si="0"/>
        <v>0</v>
      </c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</row>
    <row r="15" spans="2:20">
      <c r="B15" s="197">
        <f>B14+1</f>
        <v>6</v>
      </c>
      <c r="C15" s="215" t="s">
        <v>288</v>
      </c>
      <c r="D15" s="197" t="s">
        <v>284</v>
      </c>
      <c r="E15" s="200">
        <v>54.122559999996156</v>
      </c>
      <c r="F15" s="200">
        <v>83.42432000000008</v>
      </c>
      <c r="G15" s="200">
        <v>0</v>
      </c>
      <c r="H15" s="200"/>
      <c r="I15" s="200"/>
      <c r="J15" s="200"/>
      <c r="K15" s="200"/>
      <c r="L15" s="200"/>
      <c r="M15" s="200"/>
      <c r="N15" s="200"/>
      <c r="O15" s="200"/>
      <c r="P15" s="200"/>
      <c r="Q15" s="200"/>
      <c r="R15" s="200"/>
      <c r="S15" s="200"/>
      <c r="T15" s="200"/>
    </row>
    <row r="16" spans="2:20" ht="15">
      <c r="B16" s="197">
        <f>B15+1</f>
        <v>7</v>
      </c>
      <c r="C16" s="215" t="s">
        <v>289</v>
      </c>
      <c r="D16" s="197" t="s">
        <v>284</v>
      </c>
      <c r="E16" s="213">
        <f>E14-E15</f>
        <v>6711.1974400000036</v>
      </c>
      <c r="F16" s="213">
        <f t="shared" ref="F16:G16" si="1">F14-F15</f>
        <v>10344.615680000001</v>
      </c>
      <c r="G16" s="213">
        <f t="shared" si="1"/>
        <v>0</v>
      </c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</row>
    <row r="17" spans="2:20" ht="15">
      <c r="B17" s="195" t="s">
        <v>66</v>
      </c>
      <c r="C17" s="237" t="s">
        <v>290</v>
      </c>
      <c r="D17" s="197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198"/>
    </row>
    <row r="18" spans="2:20">
      <c r="B18" s="197">
        <f>B16+1</f>
        <v>8</v>
      </c>
      <c r="C18" s="215" t="s">
        <v>291</v>
      </c>
      <c r="D18" s="199" t="s">
        <v>416</v>
      </c>
      <c r="E18" s="201">
        <v>3.4587097650000014</v>
      </c>
      <c r="F18" s="201">
        <v>5.0257417240000004</v>
      </c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</row>
    <row r="19" spans="2:20">
      <c r="B19" s="197">
        <f>B18+1</f>
        <v>9</v>
      </c>
      <c r="C19" s="215" t="s">
        <v>292</v>
      </c>
      <c r="D19" s="199" t="s">
        <v>416</v>
      </c>
      <c r="E19" s="201">
        <v>0.17242999032160003</v>
      </c>
      <c r="F19" s="201">
        <v>4.0073402299200034E-2</v>
      </c>
      <c r="G19" s="201"/>
      <c r="H19" s="201"/>
      <c r="I19" s="201"/>
      <c r="J19" s="201"/>
      <c r="K19" s="201"/>
      <c r="L19" s="201"/>
      <c r="M19" s="201"/>
      <c r="N19" s="201"/>
      <c r="O19" s="201"/>
      <c r="P19" s="201"/>
      <c r="Q19" s="201"/>
      <c r="R19" s="201"/>
      <c r="S19" s="201"/>
      <c r="T19" s="201"/>
    </row>
    <row r="20" spans="2:20">
      <c r="B20" s="197">
        <f>B19+1</f>
        <v>10</v>
      </c>
      <c r="C20" s="215" t="s">
        <v>293</v>
      </c>
      <c r="D20" s="199" t="s">
        <v>416</v>
      </c>
      <c r="E20" s="201">
        <v>0.1362081</v>
      </c>
      <c r="F20" s="201">
        <v>0.13765939999999999</v>
      </c>
      <c r="G20" s="201">
        <v>0</v>
      </c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</row>
    <row r="21" spans="2:20" ht="15">
      <c r="B21" s="197">
        <f>B20+1</f>
        <v>11</v>
      </c>
      <c r="C21" s="215" t="s">
        <v>294</v>
      </c>
      <c r="D21" s="199" t="s">
        <v>416</v>
      </c>
      <c r="E21" s="214">
        <f>E18+E19+E20</f>
        <v>3.7673478553216015</v>
      </c>
      <c r="F21" s="214">
        <f t="shared" ref="F21:G21" si="2">F18+F19+F20</f>
        <v>5.2034745262991997</v>
      </c>
      <c r="G21" s="214">
        <f t="shared" si="2"/>
        <v>0</v>
      </c>
      <c r="H21" s="214"/>
      <c r="I21" s="214"/>
      <c r="J21" s="214"/>
      <c r="K21" s="214"/>
      <c r="L21" s="214"/>
      <c r="M21" s="214"/>
      <c r="N21" s="214"/>
      <c r="O21" s="214"/>
      <c r="P21" s="214"/>
      <c r="Q21" s="214"/>
      <c r="R21" s="214"/>
      <c r="S21" s="214"/>
      <c r="T21" s="214"/>
    </row>
    <row r="22" spans="2:20" ht="15">
      <c r="B22" s="195" t="s">
        <v>295</v>
      </c>
      <c r="C22" s="237" t="s">
        <v>296</v>
      </c>
      <c r="D22" s="197"/>
      <c r="E22" s="198"/>
      <c r="F22" s="198"/>
      <c r="G22" s="198"/>
      <c r="H22" s="198"/>
      <c r="I22" s="198"/>
      <c r="J22" s="198"/>
      <c r="K22" s="198"/>
      <c r="L22" s="198"/>
      <c r="M22" s="198"/>
      <c r="N22" s="198"/>
      <c r="O22" s="198"/>
      <c r="P22" s="198"/>
      <c r="Q22" s="198"/>
      <c r="R22" s="198"/>
      <c r="S22" s="198"/>
      <c r="T22" s="198"/>
    </row>
    <row r="23" spans="2:20">
      <c r="B23" s="197">
        <f>B21+1</f>
        <v>12</v>
      </c>
      <c r="C23" s="215" t="s">
        <v>297</v>
      </c>
      <c r="D23" s="197"/>
      <c r="E23" s="198"/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</row>
    <row r="24" spans="2:20">
      <c r="B24" s="197"/>
      <c r="C24" s="215" t="s">
        <v>298</v>
      </c>
      <c r="D24" s="199" t="s">
        <v>416</v>
      </c>
      <c r="E24" s="201">
        <v>6.9850599999999999E-2</v>
      </c>
      <c r="F24" s="201">
        <v>0.12048381063999983</v>
      </c>
      <c r="G24" s="201">
        <v>0</v>
      </c>
      <c r="H24" s="201"/>
      <c r="I24" s="201"/>
      <c r="J24" s="201"/>
      <c r="K24" s="201"/>
      <c r="L24" s="201"/>
      <c r="M24" s="201"/>
      <c r="N24" s="201"/>
      <c r="O24" s="201"/>
      <c r="P24" s="201"/>
      <c r="Q24" s="201"/>
      <c r="R24" s="201"/>
      <c r="S24" s="201"/>
      <c r="T24" s="201"/>
    </row>
    <row r="25" spans="2:20">
      <c r="B25" s="197"/>
      <c r="C25" s="215" t="s">
        <v>299</v>
      </c>
      <c r="D25" s="199" t="s">
        <v>416</v>
      </c>
      <c r="E25" s="198"/>
      <c r="F25" s="198"/>
      <c r="G25" s="198"/>
      <c r="H25" s="198"/>
      <c r="I25" s="198"/>
      <c r="J25" s="198"/>
      <c r="K25" s="198"/>
      <c r="L25" s="198"/>
      <c r="M25" s="198"/>
      <c r="N25" s="198"/>
      <c r="O25" s="198"/>
      <c r="P25" s="198"/>
      <c r="Q25" s="198"/>
      <c r="R25" s="198"/>
      <c r="S25" s="198"/>
      <c r="T25" s="198"/>
    </row>
    <row r="26" spans="2:20">
      <c r="B26" s="197"/>
      <c r="C26" s="215" t="s">
        <v>300</v>
      </c>
      <c r="D26" s="199" t="s">
        <v>416</v>
      </c>
      <c r="E26" s="198"/>
      <c r="F26" s="198"/>
      <c r="G26" s="198"/>
      <c r="H26" s="198"/>
      <c r="I26" s="198"/>
      <c r="J26" s="198"/>
      <c r="K26" s="198"/>
      <c r="L26" s="198"/>
      <c r="M26" s="198"/>
      <c r="N26" s="198"/>
      <c r="O26" s="198"/>
      <c r="P26" s="198"/>
      <c r="Q26" s="198"/>
      <c r="R26" s="198"/>
      <c r="S26" s="198"/>
      <c r="T26" s="198"/>
    </row>
    <row r="27" spans="2:20">
      <c r="B27" s="197"/>
      <c r="C27" s="215" t="s">
        <v>7</v>
      </c>
      <c r="D27" s="199" t="s">
        <v>416</v>
      </c>
      <c r="E27" s="198"/>
      <c r="F27" s="198"/>
      <c r="G27" s="198"/>
      <c r="H27" s="198"/>
      <c r="I27" s="198"/>
      <c r="J27" s="198"/>
      <c r="K27" s="198"/>
      <c r="L27" s="198"/>
      <c r="M27" s="198"/>
      <c r="N27" s="198"/>
      <c r="O27" s="198"/>
      <c r="P27" s="198"/>
      <c r="Q27" s="198"/>
      <c r="R27" s="198"/>
      <c r="S27" s="198"/>
      <c r="T27" s="198"/>
    </row>
    <row r="28" spans="2:20">
      <c r="B28" s="197">
        <f>B23+1</f>
        <v>13</v>
      </c>
      <c r="C28" s="215" t="s">
        <v>301</v>
      </c>
      <c r="D28" s="199" t="s">
        <v>416</v>
      </c>
      <c r="E28" s="198"/>
      <c r="F28" s="198"/>
      <c r="G28" s="198"/>
      <c r="H28" s="198"/>
      <c r="I28" s="198"/>
      <c r="J28" s="198"/>
      <c r="K28" s="198"/>
      <c r="L28" s="198"/>
      <c r="M28" s="198"/>
      <c r="N28" s="198"/>
      <c r="O28" s="198"/>
      <c r="P28" s="198"/>
      <c r="Q28" s="198"/>
      <c r="R28" s="198"/>
      <c r="S28" s="198"/>
      <c r="T28" s="198"/>
    </row>
    <row r="29" spans="2:20">
      <c r="B29" s="197">
        <f>B28+1</f>
        <v>14</v>
      </c>
      <c r="C29" s="215" t="s">
        <v>302</v>
      </c>
      <c r="D29" s="199" t="s">
        <v>416</v>
      </c>
      <c r="E29" s="198"/>
      <c r="F29" s="198"/>
      <c r="G29" s="198"/>
      <c r="H29" s="198"/>
      <c r="I29" s="198"/>
      <c r="J29" s="198"/>
      <c r="K29" s="198"/>
      <c r="L29" s="198"/>
      <c r="M29" s="198"/>
      <c r="N29" s="198"/>
      <c r="O29" s="198"/>
      <c r="P29" s="198"/>
      <c r="Q29" s="198"/>
      <c r="R29" s="198"/>
      <c r="S29" s="198"/>
      <c r="T29" s="198"/>
    </row>
    <row r="30" spans="2:20" ht="28.5">
      <c r="B30" s="197">
        <f>B29+1</f>
        <v>15</v>
      </c>
      <c r="C30" s="215" t="s">
        <v>371</v>
      </c>
      <c r="D30" s="199" t="s">
        <v>416</v>
      </c>
      <c r="E30" s="198"/>
      <c r="F30" s="198"/>
      <c r="G30" s="198"/>
      <c r="H30" s="198"/>
      <c r="I30" s="198"/>
      <c r="J30" s="198"/>
      <c r="K30" s="198"/>
      <c r="L30" s="198"/>
      <c r="M30" s="198"/>
      <c r="N30" s="198"/>
      <c r="O30" s="198"/>
      <c r="P30" s="198"/>
      <c r="Q30" s="198"/>
      <c r="R30" s="198"/>
      <c r="S30" s="198"/>
      <c r="T30" s="198"/>
    </row>
    <row r="31" spans="2:20">
      <c r="B31" s="197">
        <f>B30+1</f>
        <v>16</v>
      </c>
      <c r="C31" s="215" t="s">
        <v>303</v>
      </c>
      <c r="D31" s="199" t="s">
        <v>416</v>
      </c>
      <c r="E31" s="216">
        <f>SUM(E24:E30)</f>
        <v>6.9850599999999999E-2</v>
      </c>
      <c r="F31" s="216">
        <f t="shared" ref="F31:G31" si="3">SUM(F24:F30)</f>
        <v>0.12048381063999983</v>
      </c>
      <c r="G31" s="216">
        <f t="shared" si="3"/>
        <v>0</v>
      </c>
      <c r="H31" s="201"/>
      <c r="I31" s="201"/>
      <c r="J31" s="201"/>
      <c r="K31" s="201"/>
      <c r="L31" s="201"/>
      <c r="M31" s="201"/>
      <c r="N31" s="201"/>
      <c r="O31" s="201"/>
      <c r="P31" s="201"/>
      <c r="Q31" s="201"/>
      <c r="R31" s="201"/>
      <c r="S31" s="201"/>
      <c r="T31" s="201"/>
    </row>
    <row r="32" spans="2:20" ht="28.5">
      <c r="B32" s="197">
        <f>B31+1</f>
        <v>17</v>
      </c>
      <c r="C32" s="215" t="s">
        <v>304</v>
      </c>
      <c r="D32" s="199" t="s">
        <v>416</v>
      </c>
      <c r="E32" s="214">
        <f>E21+E31</f>
        <v>3.8371984553216016</v>
      </c>
      <c r="F32" s="214">
        <f t="shared" ref="F32:G32" si="4">F21+F31</f>
        <v>5.3239583369391994</v>
      </c>
      <c r="G32" s="214">
        <f t="shared" si="4"/>
        <v>0</v>
      </c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4"/>
    </row>
    <row r="33" spans="2:20" ht="15">
      <c r="B33" s="195" t="s">
        <v>305</v>
      </c>
      <c r="C33" s="237" t="s">
        <v>171</v>
      </c>
      <c r="D33" s="197"/>
      <c r="E33" s="198"/>
      <c r="F33" s="198"/>
      <c r="G33" s="198"/>
      <c r="H33" s="198"/>
      <c r="I33" s="198"/>
      <c r="J33" s="198"/>
      <c r="K33" s="198"/>
      <c r="L33" s="198"/>
      <c r="M33" s="198"/>
      <c r="N33" s="198"/>
      <c r="O33" s="198"/>
      <c r="P33" s="198"/>
      <c r="Q33" s="198"/>
      <c r="R33" s="198"/>
      <c r="S33" s="198"/>
      <c r="T33" s="198"/>
    </row>
    <row r="34" spans="2:20" ht="15">
      <c r="B34" s="197">
        <f>B32+1</f>
        <v>18</v>
      </c>
      <c r="C34" s="215" t="s">
        <v>306</v>
      </c>
      <c r="D34" s="197" t="s">
        <v>307</v>
      </c>
      <c r="E34" s="214">
        <f>IFERROR((E10+E32)/(E9+E16)*10000000,0)</f>
        <v>5366.9375926618613</v>
      </c>
      <c r="F34" s="214">
        <f t="shared" ref="F34:G34" si="5">IFERROR((F10+F32)/(F9+F16)*10000000,0)</f>
        <v>5206.7983639158756</v>
      </c>
      <c r="G34" s="214">
        <f t="shared" si="5"/>
        <v>5206.7983639158765</v>
      </c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214"/>
      <c r="T34" s="214"/>
    </row>
    <row r="35" spans="2:20">
      <c r="B35" s="197">
        <f>B34+1</f>
        <v>19</v>
      </c>
      <c r="C35" s="215" t="s">
        <v>308</v>
      </c>
      <c r="D35" s="197"/>
      <c r="E35" s="198"/>
      <c r="F35" s="198"/>
      <c r="G35" s="198"/>
      <c r="H35" s="198"/>
      <c r="I35" s="198"/>
      <c r="J35" s="198"/>
      <c r="K35" s="198"/>
      <c r="L35" s="198"/>
      <c r="M35" s="198"/>
      <c r="N35" s="198"/>
      <c r="O35" s="198"/>
      <c r="P35" s="198"/>
      <c r="Q35" s="198"/>
      <c r="R35" s="198"/>
      <c r="S35" s="198"/>
      <c r="T35" s="198"/>
    </row>
    <row r="36" spans="2:20">
      <c r="B36" s="197">
        <f>B35+1</f>
        <v>20</v>
      </c>
      <c r="C36" s="215" t="s">
        <v>309</v>
      </c>
      <c r="D36" s="197" t="s">
        <v>307</v>
      </c>
      <c r="E36" s="198"/>
      <c r="F36" s="198"/>
      <c r="G36" s="198"/>
      <c r="H36" s="198"/>
      <c r="I36" s="198"/>
      <c r="J36" s="198"/>
      <c r="K36" s="198"/>
      <c r="L36" s="198"/>
      <c r="M36" s="198"/>
      <c r="N36" s="198"/>
      <c r="O36" s="198"/>
      <c r="P36" s="198"/>
      <c r="Q36" s="198"/>
      <c r="R36" s="198"/>
      <c r="S36" s="198"/>
      <c r="T36" s="198"/>
    </row>
    <row r="37" spans="2:20" ht="15">
      <c r="B37" s="195" t="s">
        <v>310</v>
      </c>
      <c r="C37" s="237" t="s">
        <v>311</v>
      </c>
      <c r="D37" s="197"/>
      <c r="E37" s="198"/>
      <c r="F37" s="198"/>
      <c r="G37" s="198"/>
      <c r="H37" s="198"/>
      <c r="I37" s="198"/>
      <c r="J37" s="198"/>
      <c r="K37" s="198"/>
      <c r="L37" s="198"/>
      <c r="M37" s="198"/>
      <c r="N37" s="198"/>
      <c r="O37" s="198"/>
      <c r="P37" s="198"/>
      <c r="Q37" s="198"/>
      <c r="R37" s="198"/>
      <c r="S37" s="198"/>
      <c r="T37" s="198"/>
    </row>
    <row r="38" spans="2:20" ht="28.5">
      <c r="B38" s="197">
        <f>B36+1</f>
        <v>21</v>
      </c>
      <c r="C38" s="215" t="s">
        <v>370</v>
      </c>
      <c r="D38" s="197" t="s">
        <v>312</v>
      </c>
      <c r="E38" s="198"/>
      <c r="F38" s="198"/>
      <c r="G38" s="198"/>
      <c r="H38" s="198"/>
      <c r="I38" s="198"/>
      <c r="J38" s="198"/>
      <c r="K38" s="198"/>
      <c r="L38" s="198"/>
      <c r="M38" s="198"/>
      <c r="N38" s="198"/>
      <c r="O38" s="198"/>
      <c r="P38" s="198"/>
      <c r="Q38" s="198"/>
      <c r="R38" s="198"/>
      <c r="S38" s="198"/>
      <c r="T38" s="198"/>
    </row>
    <row r="39" spans="2:20" ht="28.5">
      <c r="B39" s="197">
        <f>B38+1</f>
        <v>22</v>
      </c>
      <c r="C39" s="215" t="s">
        <v>313</v>
      </c>
      <c r="D39" s="197" t="s">
        <v>312</v>
      </c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198"/>
      <c r="P39" s="198"/>
      <c r="Q39" s="198"/>
      <c r="R39" s="198"/>
      <c r="S39" s="198"/>
      <c r="T39" s="198"/>
    </row>
    <row r="40" spans="2:20" ht="28.5">
      <c r="B40" s="197">
        <f t="shared" ref="B40:B47" si="6">B39+1</f>
        <v>23</v>
      </c>
      <c r="C40" s="215" t="s">
        <v>369</v>
      </c>
      <c r="D40" s="197" t="s">
        <v>312</v>
      </c>
      <c r="E40" s="198"/>
      <c r="F40" s="198"/>
      <c r="G40" s="198"/>
      <c r="H40" s="198"/>
      <c r="I40" s="198"/>
      <c r="J40" s="198"/>
      <c r="K40" s="198"/>
      <c r="L40" s="198"/>
      <c r="M40" s="198"/>
      <c r="N40" s="198"/>
      <c r="O40" s="198"/>
      <c r="P40" s="198"/>
      <c r="Q40" s="198"/>
      <c r="R40" s="198"/>
      <c r="S40" s="198"/>
      <c r="T40" s="198"/>
    </row>
    <row r="41" spans="2:20">
      <c r="B41" s="197">
        <f t="shared" si="6"/>
        <v>24</v>
      </c>
      <c r="C41" s="215" t="s">
        <v>314</v>
      </c>
      <c r="D41" s="197" t="s">
        <v>312</v>
      </c>
      <c r="E41" s="198"/>
      <c r="F41" s="198"/>
      <c r="G41" s="198"/>
      <c r="H41" s="198"/>
      <c r="I41" s="198"/>
      <c r="J41" s="198"/>
      <c r="K41" s="198"/>
      <c r="L41" s="198"/>
      <c r="M41" s="198"/>
      <c r="N41" s="198"/>
      <c r="O41" s="198"/>
      <c r="P41" s="198"/>
      <c r="Q41" s="198"/>
      <c r="R41" s="198"/>
      <c r="S41" s="198"/>
      <c r="T41" s="198"/>
    </row>
    <row r="42" spans="2:20" ht="15">
      <c r="B42" s="197">
        <f t="shared" si="6"/>
        <v>25</v>
      </c>
      <c r="C42" s="215" t="s">
        <v>315</v>
      </c>
      <c r="D42" s="197" t="s">
        <v>312</v>
      </c>
      <c r="E42" s="217">
        <v>4344</v>
      </c>
      <c r="F42" s="217">
        <v>4168</v>
      </c>
      <c r="G42" s="217">
        <v>0</v>
      </c>
      <c r="H42" s="208"/>
      <c r="I42" s="172"/>
      <c r="J42" s="172"/>
      <c r="K42" s="172"/>
      <c r="L42" s="172"/>
      <c r="M42" s="172"/>
      <c r="N42" s="172"/>
      <c r="O42" s="219"/>
      <c r="P42" s="219"/>
      <c r="Q42" s="219"/>
      <c r="R42" s="219"/>
      <c r="S42" s="219"/>
      <c r="T42" s="219"/>
    </row>
    <row r="43" spans="2:20" ht="28.5">
      <c r="B43" s="197">
        <f t="shared" si="6"/>
        <v>26</v>
      </c>
      <c r="C43" s="215" t="s">
        <v>368</v>
      </c>
      <c r="D43" s="197" t="s">
        <v>312</v>
      </c>
      <c r="E43" s="217">
        <v>3561</v>
      </c>
      <c r="F43" s="217">
        <v>3650.8914577838095</v>
      </c>
      <c r="G43" s="217">
        <v>3682.4883531335304</v>
      </c>
      <c r="H43" s="198"/>
      <c r="I43" s="198"/>
      <c r="J43" s="198"/>
      <c r="K43" s="198"/>
      <c r="L43" s="198"/>
      <c r="M43" s="198"/>
      <c r="N43" s="198"/>
      <c r="O43" s="198"/>
      <c r="P43" s="198"/>
      <c r="Q43" s="198"/>
      <c r="R43" s="198"/>
      <c r="S43" s="198"/>
      <c r="T43" s="198"/>
    </row>
    <row r="44" spans="2:20" ht="15">
      <c r="B44" s="197">
        <f t="shared" si="6"/>
        <v>27</v>
      </c>
      <c r="C44" s="215" t="s">
        <v>316</v>
      </c>
      <c r="D44" s="197" t="s">
        <v>312</v>
      </c>
      <c r="E44" s="217">
        <v>3742</v>
      </c>
      <c r="F44" s="217">
        <v>3712</v>
      </c>
      <c r="G44" s="217">
        <v>3572</v>
      </c>
      <c r="H44" s="198"/>
      <c r="I44" s="198"/>
      <c r="J44" s="198"/>
      <c r="K44" s="198"/>
      <c r="L44" s="198"/>
      <c r="M44" s="198"/>
      <c r="N44" s="198"/>
      <c r="O44" s="198"/>
      <c r="P44" s="198"/>
      <c r="Q44" s="198"/>
      <c r="R44" s="198"/>
      <c r="S44" s="198"/>
      <c r="T44" s="198"/>
    </row>
    <row r="45" spans="2:20" ht="28.5">
      <c r="B45" s="197">
        <f t="shared" si="6"/>
        <v>28</v>
      </c>
      <c r="C45" s="215" t="s">
        <v>317</v>
      </c>
      <c r="D45" s="197" t="s">
        <v>312</v>
      </c>
      <c r="E45" s="217"/>
      <c r="F45" s="217"/>
      <c r="G45" s="217"/>
      <c r="H45" s="198"/>
      <c r="I45" s="198"/>
      <c r="J45" s="198"/>
      <c r="K45" s="198"/>
      <c r="L45" s="198"/>
      <c r="M45" s="198"/>
      <c r="N45" s="198"/>
      <c r="O45" s="198"/>
      <c r="P45" s="198"/>
      <c r="Q45" s="198"/>
      <c r="R45" s="198"/>
      <c r="S45" s="198"/>
      <c r="T45" s="198"/>
    </row>
    <row r="46" spans="2:20" ht="28.5">
      <c r="B46" s="197">
        <f t="shared" si="6"/>
        <v>29</v>
      </c>
      <c r="C46" s="215" t="s">
        <v>317</v>
      </c>
      <c r="D46" s="197" t="s">
        <v>312</v>
      </c>
      <c r="E46" s="217"/>
      <c r="F46" s="217"/>
      <c r="G46" s="217"/>
      <c r="H46" s="198"/>
      <c r="I46" s="198"/>
      <c r="J46" s="198"/>
      <c r="K46" s="198"/>
      <c r="L46" s="198"/>
      <c r="M46" s="198"/>
      <c r="N46" s="198"/>
      <c r="O46" s="198"/>
      <c r="P46" s="198"/>
      <c r="Q46" s="198"/>
      <c r="R46" s="198"/>
      <c r="S46" s="198"/>
      <c r="T46" s="198"/>
    </row>
    <row r="47" spans="2:20" ht="15">
      <c r="B47" s="197">
        <f t="shared" si="6"/>
        <v>30</v>
      </c>
      <c r="C47" s="215" t="s">
        <v>318</v>
      </c>
      <c r="D47" s="197" t="s">
        <v>312</v>
      </c>
      <c r="E47" s="218">
        <v>3650.8914577838095</v>
      </c>
      <c r="F47" s="218">
        <v>3682.4883531335304</v>
      </c>
      <c r="G47" s="218">
        <v>3682.4883531335304</v>
      </c>
      <c r="H47" s="208"/>
      <c r="I47" s="208"/>
      <c r="J47" s="208"/>
      <c r="K47" s="208"/>
      <c r="L47" s="208"/>
      <c r="M47" s="208"/>
      <c r="N47" s="208"/>
      <c r="O47" s="220"/>
      <c r="P47" s="220"/>
      <c r="Q47" s="220"/>
      <c r="R47" s="220"/>
      <c r="S47" s="220"/>
      <c r="T47" s="220"/>
    </row>
    <row r="48" spans="2:20" ht="15">
      <c r="B48" s="203" t="s">
        <v>220</v>
      </c>
    </row>
    <row r="49" spans="2:7" s="239" customFormat="1" ht="21" customHeight="1">
      <c r="B49" s="239">
        <v>1</v>
      </c>
      <c r="C49" s="277" t="s">
        <v>319</v>
      </c>
      <c r="D49" s="277"/>
      <c r="E49" s="277"/>
      <c r="F49" s="277"/>
      <c r="G49" s="277"/>
    </row>
    <row r="50" spans="2:7" s="239" customFormat="1" ht="21" customHeight="1">
      <c r="B50" s="239">
        <f>B49+1</f>
        <v>2</v>
      </c>
      <c r="C50" s="277" t="s">
        <v>320</v>
      </c>
      <c r="D50" s="277"/>
      <c r="E50" s="277"/>
      <c r="F50" s="277"/>
      <c r="G50" s="277"/>
    </row>
    <row r="51" spans="2:7" s="239" customFormat="1" ht="21" customHeight="1">
      <c r="B51" s="239">
        <f>B50+1</f>
        <v>3</v>
      </c>
      <c r="C51" s="277" t="s">
        <v>321</v>
      </c>
      <c r="D51" s="277"/>
      <c r="E51" s="277"/>
      <c r="F51" s="277"/>
      <c r="G51" s="277"/>
    </row>
    <row r="52" spans="2:7" s="239" customFormat="1" ht="21" customHeight="1">
      <c r="B52" s="239">
        <f>B51+1</f>
        <v>4</v>
      </c>
      <c r="C52" s="277" t="s">
        <v>322</v>
      </c>
      <c r="D52" s="277"/>
      <c r="E52" s="277"/>
      <c r="F52" s="277"/>
      <c r="G52" s="277"/>
    </row>
  </sheetData>
  <mergeCells count="11">
    <mergeCell ref="B6:B7"/>
    <mergeCell ref="C6:C7"/>
    <mergeCell ref="D6:D7"/>
    <mergeCell ref="B2:G2"/>
    <mergeCell ref="B3:G3"/>
    <mergeCell ref="B4:G4"/>
    <mergeCell ref="C49:G49"/>
    <mergeCell ref="C50:G50"/>
    <mergeCell ref="C51:G51"/>
    <mergeCell ref="C52:G52"/>
    <mergeCell ref="O6:T6"/>
  </mergeCells>
  <phoneticPr fontId="14" type="noConversion"/>
  <pageMargins left="0.2" right="0.2" top="0.25" bottom="0.2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B2:J54"/>
  <sheetViews>
    <sheetView view="pageBreakPreview" topLeftCell="A25" zoomScale="79" zoomScaleSheetLayoutView="79" workbookViewId="0">
      <selection activeCell="H39" sqref="H39"/>
    </sheetView>
  </sheetViews>
  <sheetFormatPr defaultRowHeight="12.75"/>
  <cols>
    <col min="2" max="2" width="8.85546875" customWidth="1"/>
    <col min="3" max="3" width="65.28515625" customWidth="1"/>
    <col min="5" max="5" width="11.5703125" bestFit="1" customWidth="1"/>
    <col min="6" max="6" width="9.42578125" bestFit="1" customWidth="1"/>
    <col min="7" max="7" width="11.5703125" bestFit="1" customWidth="1"/>
    <col min="8" max="8" width="9.5703125" bestFit="1" customWidth="1"/>
    <col min="9" max="9" width="11.5703125" bestFit="1" customWidth="1"/>
    <col min="10" max="10" width="9.42578125" bestFit="1" customWidth="1"/>
  </cols>
  <sheetData>
    <row r="2" spans="2:10" ht="16.5">
      <c r="B2" s="284" t="s">
        <v>413</v>
      </c>
      <c r="C2" s="284"/>
      <c r="D2" s="284"/>
      <c r="E2" s="284"/>
      <c r="F2" s="284"/>
      <c r="G2" s="284"/>
      <c r="H2" s="284"/>
      <c r="I2" s="284"/>
      <c r="J2" s="284"/>
    </row>
    <row r="3" spans="2:10" ht="16.5">
      <c r="B3" s="284" t="s">
        <v>467</v>
      </c>
      <c r="C3" s="284"/>
      <c r="D3" s="284"/>
      <c r="E3" s="284"/>
      <c r="F3" s="284"/>
      <c r="G3" s="284"/>
      <c r="H3" s="284"/>
      <c r="I3" s="284"/>
      <c r="J3" s="284"/>
    </row>
    <row r="4" spans="2:10" ht="16.5">
      <c r="B4" s="285" t="s">
        <v>324</v>
      </c>
      <c r="C4" s="285"/>
      <c r="D4" s="285"/>
      <c r="E4" s="285"/>
      <c r="F4" s="285"/>
      <c r="G4" s="285"/>
      <c r="H4" s="285"/>
      <c r="I4" s="285"/>
      <c r="J4" s="285"/>
    </row>
    <row r="6" spans="2:10" ht="15">
      <c r="B6" s="278" t="s">
        <v>175</v>
      </c>
      <c r="C6" s="278" t="s">
        <v>12</v>
      </c>
      <c r="D6" s="278" t="s">
        <v>33</v>
      </c>
      <c r="E6" s="286">
        <v>45383</v>
      </c>
      <c r="F6" s="287"/>
      <c r="G6" s="286">
        <v>45413</v>
      </c>
      <c r="H6" s="287"/>
      <c r="I6" s="286">
        <v>45444</v>
      </c>
      <c r="J6" s="287"/>
    </row>
    <row r="7" spans="2:10" ht="15">
      <c r="B7" s="278"/>
      <c r="C7" s="278"/>
      <c r="D7" s="278"/>
      <c r="E7" s="195" t="s">
        <v>468</v>
      </c>
      <c r="F7" s="195" t="s">
        <v>469</v>
      </c>
      <c r="G7" s="195" t="s">
        <v>468</v>
      </c>
      <c r="H7" s="195" t="s">
        <v>469</v>
      </c>
      <c r="I7" s="195" t="s">
        <v>468</v>
      </c>
      <c r="J7" s="195" t="s">
        <v>469</v>
      </c>
    </row>
    <row r="8" spans="2:10" ht="15">
      <c r="B8" s="195" t="s">
        <v>61</v>
      </c>
      <c r="C8" s="196" t="s">
        <v>281</v>
      </c>
      <c r="D8" s="197"/>
      <c r="E8" s="198"/>
      <c r="F8" s="198"/>
      <c r="G8" s="198"/>
      <c r="H8" s="198"/>
      <c r="I8" s="198"/>
      <c r="J8" s="198"/>
    </row>
    <row r="9" spans="2:10" ht="14.25">
      <c r="B9" s="197">
        <v>1</v>
      </c>
      <c r="C9" s="198" t="s">
        <v>414</v>
      </c>
      <c r="D9" s="199" t="s">
        <v>415</v>
      </c>
      <c r="E9" s="200">
        <v>44.097000000000051</v>
      </c>
      <c r="F9" s="200">
        <v>26.507999999999839</v>
      </c>
      <c r="G9" s="200">
        <v>45.194000000000045</v>
      </c>
      <c r="H9" s="200">
        <v>40.22099999999984</v>
      </c>
      <c r="I9" s="200">
        <v>46.626000000000033</v>
      </c>
      <c r="J9" s="200">
        <v>-1.5631940186722204E-13</v>
      </c>
    </row>
    <row r="10" spans="2:10" ht="14.25">
      <c r="B10" s="197">
        <v>2</v>
      </c>
      <c r="C10" s="198" t="s">
        <v>283</v>
      </c>
      <c r="D10" s="199" t="s">
        <v>416</v>
      </c>
      <c r="E10" s="201">
        <v>0.26698698031803497</v>
      </c>
      <c r="F10" s="201">
        <v>0.25951773897796704</v>
      </c>
      <c r="G10" s="201">
        <v>0.28546782424089895</v>
      </c>
      <c r="H10" s="201">
        <v>0.39062246991821942</v>
      </c>
      <c r="I10" s="201">
        <v>0.31250912421207994</v>
      </c>
      <c r="J10" s="201">
        <v>-1.5123786265749004E-15</v>
      </c>
    </row>
    <row r="11" spans="2:10" ht="15">
      <c r="B11" s="195" t="s">
        <v>65</v>
      </c>
      <c r="C11" s="196" t="s">
        <v>285</v>
      </c>
      <c r="D11" s="199"/>
      <c r="E11" s="202"/>
      <c r="F11" s="202"/>
      <c r="G11" s="202"/>
      <c r="H11" s="202"/>
      <c r="I11" s="202"/>
      <c r="J11" s="202"/>
    </row>
    <row r="12" spans="2:10" ht="14.25">
      <c r="B12" s="197">
        <v>3</v>
      </c>
      <c r="C12" s="198" t="s">
        <v>417</v>
      </c>
      <c r="D12" s="199" t="s">
        <v>415</v>
      </c>
      <c r="E12" s="200">
        <v>72.587999999999994</v>
      </c>
      <c r="F12" s="200">
        <v>80</v>
      </c>
      <c r="G12" s="200">
        <v>97.337999999999994</v>
      </c>
      <c r="H12" s="200">
        <v>60.210999999999999</v>
      </c>
      <c r="I12" s="200">
        <v>0</v>
      </c>
      <c r="J12" s="200">
        <v>40</v>
      </c>
    </row>
    <row r="13" spans="2:10" ht="14.25">
      <c r="B13" s="197">
        <v>4</v>
      </c>
      <c r="C13" s="198" t="s">
        <v>418</v>
      </c>
      <c r="D13" s="199" t="s">
        <v>415</v>
      </c>
      <c r="E13" s="200"/>
      <c r="F13" s="202"/>
      <c r="G13" s="202"/>
      <c r="H13" s="202"/>
      <c r="I13" s="202"/>
      <c r="J13" s="202"/>
    </row>
    <row r="14" spans="2:10" ht="14.25">
      <c r="B14" s="197">
        <v>5</v>
      </c>
      <c r="C14" s="198" t="s">
        <v>419</v>
      </c>
      <c r="D14" s="199" t="s">
        <v>415</v>
      </c>
      <c r="E14" s="200">
        <f>SUM(E12:E13)</f>
        <v>72.587999999999994</v>
      </c>
      <c r="F14" s="200">
        <f t="shared" ref="F14:J14" si="0">SUM(F12:F13)</f>
        <v>80</v>
      </c>
      <c r="G14" s="200">
        <f t="shared" si="0"/>
        <v>97.337999999999994</v>
      </c>
      <c r="H14" s="200">
        <f t="shared" si="0"/>
        <v>60.210999999999999</v>
      </c>
      <c r="I14" s="200">
        <f t="shared" si="0"/>
        <v>0</v>
      </c>
      <c r="J14" s="200">
        <f t="shared" si="0"/>
        <v>40</v>
      </c>
    </row>
    <row r="15" spans="2:10" ht="14.25">
      <c r="B15" s="197">
        <v>6</v>
      </c>
      <c r="C15" s="198" t="s">
        <v>288</v>
      </c>
      <c r="D15" s="199" t="s">
        <v>415</v>
      </c>
      <c r="E15" s="202"/>
      <c r="F15" s="202"/>
      <c r="G15" s="202"/>
      <c r="H15" s="202"/>
      <c r="I15" s="202"/>
      <c r="J15" s="202"/>
    </row>
    <row r="16" spans="2:10" ht="14.25">
      <c r="B16" s="197">
        <v>7</v>
      </c>
      <c r="C16" s="198" t="s">
        <v>420</v>
      </c>
      <c r="D16" s="199" t="s">
        <v>415</v>
      </c>
      <c r="E16" s="200">
        <f>E14-E15</f>
        <v>72.587999999999994</v>
      </c>
      <c r="F16" s="200">
        <f t="shared" ref="F16:J16" si="1">F14-F15</f>
        <v>80</v>
      </c>
      <c r="G16" s="200">
        <f t="shared" si="1"/>
        <v>97.337999999999994</v>
      </c>
      <c r="H16" s="200">
        <f t="shared" si="1"/>
        <v>60.210999999999999</v>
      </c>
      <c r="I16" s="200">
        <f t="shared" si="1"/>
        <v>0</v>
      </c>
      <c r="J16" s="200">
        <f t="shared" si="1"/>
        <v>40</v>
      </c>
    </row>
    <row r="17" spans="2:10" ht="15">
      <c r="B17" s="195" t="s">
        <v>66</v>
      </c>
      <c r="C17" s="196" t="s">
        <v>290</v>
      </c>
      <c r="D17" s="199"/>
      <c r="E17" s="202"/>
      <c r="F17" s="202"/>
      <c r="G17" s="202"/>
      <c r="H17" s="202"/>
      <c r="I17" s="202"/>
      <c r="J17" s="202"/>
    </row>
    <row r="18" spans="2:10" ht="14.25">
      <c r="B18" s="197">
        <v>8</v>
      </c>
      <c r="C18" s="198" t="s">
        <v>421</v>
      </c>
      <c r="D18" s="199" t="s">
        <v>416</v>
      </c>
      <c r="E18" s="201">
        <v>0.470053624</v>
      </c>
      <c r="F18" s="201">
        <v>0.77487767699999999</v>
      </c>
      <c r="G18" s="201">
        <v>0.66984789</v>
      </c>
      <c r="H18" s="201">
        <v>0.58104968600000007</v>
      </c>
      <c r="I18" s="201">
        <v>0</v>
      </c>
      <c r="J18" s="201">
        <v>0.387437007</v>
      </c>
    </row>
    <row r="19" spans="2:10" ht="14.25">
      <c r="B19" s="197">
        <v>9</v>
      </c>
      <c r="C19" s="198" t="s">
        <v>422</v>
      </c>
      <c r="D19" s="199" t="s">
        <v>416</v>
      </c>
      <c r="E19" s="202"/>
      <c r="F19" s="202"/>
      <c r="G19" s="202"/>
      <c r="H19" s="202"/>
      <c r="I19" s="202"/>
      <c r="J19" s="202"/>
    </row>
    <row r="20" spans="2:10" ht="14.25">
      <c r="B20" s="197">
        <v>10</v>
      </c>
      <c r="C20" s="198" t="s">
        <v>293</v>
      </c>
      <c r="D20" s="199" t="s">
        <v>416</v>
      </c>
      <c r="E20" s="202"/>
      <c r="F20" s="202"/>
      <c r="G20" s="202"/>
      <c r="H20" s="202"/>
      <c r="I20" s="202"/>
      <c r="J20" s="202"/>
    </row>
    <row r="21" spans="2:10" ht="14.25">
      <c r="B21" s="197">
        <v>11</v>
      </c>
      <c r="C21" s="198" t="s">
        <v>294</v>
      </c>
      <c r="D21" s="199" t="s">
        <v>416</v>
      </c>
      <c r="E21" s="201">
        <f>SUM(E18:E20)</f>
        <v>0.470053624</v>
      </c>
      <c r="F21" s="201">
        <f t="shared" ref="F21:J21" si="2">SUM(F18:F20)</f>
        <v>0.77487767699999999</v>
      </c>
      <c r="G21" s="201">
        <f t="shared" si="2"/>
        <v>0.66984789</v>
      </c>
      <c r="H21" s="201">
        <f t="shared" si="2"/>
        <v>0.58104968600000007</v>
      </c>
      <c r="I21" s="201">
        <f t="shared" si="2"/>
        <v>0</v>
      </c>
      <c r="J21" s="201">
        <f t="shared" si="2"/>
        <v>0.387437007</v>
      </c>
    </row>
    <row r="22" spans="2:10" ht="15">
      <c r="B22" s="195" t="s">
        <v>295</v>
      </c>
      <c r="C22" s="196" t="s">
        <v>296</v>
      </c>
      <c r="D22" s="199"/>
      <c r="E22" s="202"/>
      <c r="F22" s="202"/>
      <c r="G22" s="202"/>
      <c r="H22" s="202"/>
      <c r="I22" s="202"/>
      <c r="J22" s="202"/>
    </row>
    <row r="23" spans="2:10" ht="14.25">
      <c r="B23" s="197">
        <v>12</v>
      </c>
      <c r="C23" s="198" t="s">
        <v>297</v>
      </c>
      <c r="D23" s="199"/>
      <c r="E23" s="202"/>
      <c r="F23" s="202"/>
      <c r="G23" s="202"/>
      <c r="H23" s="202"/>
      <c r="I23" s="202"/>
      <c r="J23" s="202"/>
    </row>
    <row r="24" spans="2:10" ht="14.25">
      <c r="B24" s="197"/>
      <c r="C24" s="198" t="s">
        <v>298</v>
      </c>
      <c r="D24" s="199" t="s">
        <v>416</v>
      </c>
      <c r="E24" s="202"/>
      <c r="F24" s="202"/>
      <c r="G24" s="202"/>
      <c r="H24" s="202"/>
      <c r="I24" s="202"/>
      <c r="J24" s="202"/>
    </row>
    <row r="25" spans="2:10" ht="14.25">
      <c r="B25" s="197"/>
      <c r="C25" s="198" t="s">
        <v>299</v>
      </c>
      <c r="D25" s="199" t="s">
        <v>416</v>
      </c>
      <c r="E25" s="202"/>
      <c r="F25" s="202"/>
      <c r="G25" s="202"/>
      <c r="H25" s="202"/>
      <c r="I25" s="202"/>
      <c r="J25" s="202"/>
    </row>
    <row r="26" spans="2:10" ht="14.25">
      <c r="B26" s="197"/>
      <c r="C26" s="198" t="s">
        <v>300</v>
      </c>
      <c r="D26" s="199" t="s">
        <v>416</v>
      </c>
      <c r="E26" s="202"/>
      <c r="F26" s="202"/>
      <c r="G26" s="202"/>
      <c r="H26" s="202"/>
      <c r="I26" s="202"/>
      <c r="J26" s="202"/>
    </row>
    <row r="27" spans="2:10" ht="14.25">
      <c r="B27" s="197"/>
      <c r="C27" s="198" t="s">
        <v>7</v>
      </c>
      <c r="D27" s="199" t="s">
        <v>416</v>
      </c>
      <c r="E27" s="202"/>
      <c r="F27" s="202"/>
      <c r="G27" s="202"/>
      <c r="H27" s="202"/>
      <c r="I27" s="202"/>
      <c r="J27" s="202"/>
    </row>
    <row r="28" spans="2:10" ht="14.25">
      <c r="B28" s="197">
        <v>13</v>
      </c>
      <c r="C28" s="198" t="s">
        <v>423</v>
      </c>
      <c r="D28" s="199" t="s">
        <v>416</v>
      </c>
      <c r="E28" s="202">
        <v>0</v>
      </c>
      <c r="F28" s="202"/>
      <c r="G28" s="202"/>
      <c r="H28" s="202"/>
      <c r="I28" s="202"/>
      <c r="J28" s="202"/>
    </row>
    <row r="29" spans="2:10" ht="14.25">
      <c r="B29" s="197">
        <v>14</v>
      </c>
      <c r="C29" s="198" t="s">
        <v>302</v>
      </c>
      <c r="D29" s="199" t="s">
        <v>416</v>
      </c>
      <c r="E29" s="202">
        <v>0</v>
      </c>
      <c r="F29" s="202"/>
      <c r="G29" s="202"/>
      <c r="H29" s="202"/>
      <c r="I29" s="202"/>
      <c r="J29" s="202"/>
    </row>
    <row r="30" spans="2:10" ht="21.75" customHeight="1">
      <c r="B30" s="197">
        <v>15</v>
      </c>
      <c r="C30" s="198" t="s">
        <v>424</v>
      </c>
      <c r="D30" s="199" t="s">
        <v>416</v>
      </c>
      <c r="E30" s="202">
        <v>0</v>
      </c>
      <c r="F30" s="202"/>
      <c r="G30" s="202"/>
      <c r="H30" s="202"/>
      <c r="I30" s="202"/>
      <c r="J30" s="202"/>
    </row>
    <row r="31" spans="2:10" ht="14.25">
      <c r="B31" s="197">
        <v>16</v>
      </c>
      <c r="C31" s="198" t="s">
        <v>303</v>
      </c>
      <c r="D31" s="199" t="s">
        <v>416</v>
      </c>
      <c r="E31" s="201">
        <f>SUM(E23:E30)</f>
        <v>0</v>
      </c>
      <c r="F31" s="201">
        <f t="shared" ref="F31:J31" si="3">SUM(F23:F30)</f>
        <v>0</v>
      </c>
      <c r="G31" s="201">
        <f t="shared" si="3"/>
        <v>0</v>
      </c>
      <c r="H31" s="201">
        <f t="shared" si="3"/>
        <v>0</v>
      </c>
      <c r="I31" s="201">
        <f t="shared" si="3"/>
        <v>0</v>
      </c>
      <c r="J31" s="201">
        <f t="shared" si="3"/>
        <v>0</v>
      </c>
    </row>
    <row r="32" spans="2:10" ht="14.25">
      <c r="B32" s="197">
        <v>17</v>
      </c>
      <c r="C32" s="198" t="s">
        <v>425</v>
      </c>
      <c r="D32" s="199" t="s">
        <v>416</v>
      </c>
      <c r="E32" s="201">
        <f>E31+E21</f>
        <v>0.470053624</v>
      </c>
      <c r="F32" s="201">
        <f t="shared" ref="F32:J32" si="4">F31+F21</f>
        <v>0.77487767699999999</v>
      </c>
      <c r="G32" s="201">
        <f t="shared" si="4"/>
        <v>0.66984789</v>
      </c>
      <c r="H32" s="201">
        <f t="shared" si="4"/>
        <v>0.58104968600000007</v>
      </c>
      <c r="I32" s="201">
        <f t="shared" si="4"/>
        <v>0</v>
      </c>
      <c r="J32" s="201">
        <f t="shared" si="4"/>
        <v>0.387437007</v>
      </c>
    </row>
    <row r="33" spans="2:10" ht="15">
      <c r="B33" s="195" t="s">
        <v>305</v>
      </c>
      <c r="C33" s="196" t="s">
        <v>171</v>
      </c>
      <c r="D33" s="199"/>
      <c r="E33" s="200"/>
      <c r="F33" s="200"/>
      <c r="G33" s="200"/>
      <c r="H33" s="200"/>
      <c r="I33" s="200"/>
      <c r="J33" s="200"/>
    </row>
    <row r="34" spans="2:10" ht="14.25">
      <c r="B34" s="197">
        <v>18</v>
      </c>
      <c r="C34" s="198" t="s">
        <v>426</v>
      </c>
      <c r="D34" s="199" t="s">
        <v>427</v>
      </c>
      <c r="E34" s="201">
        <f>(E10+E32)/(E9+E16)*10000000</f>
        <v>63164.983015643375</v>
      </c>
      <c r="F34" s="201">
        <f t="shared" ref="F34:J34" si="5">(F10+F32)/(F9+F16)*10000000</f>
        <v>97119.034812217738</v>
      </c>
      <c r="G34" s="201">
        <f t="shared" si="5"/>
        <v>67024.648095929253</v>
      </c>
      <c r="H34" s="201">
        <f t="shared" si="5"/>
        <v>96749.258793832734</v>
      </c>
      <c r="I34" s="201">
        <f t="shared" si="5"/>
        <v>67024.648095929253</v>
      </c>
      <c r="J34" s="201">
        <f t="shared" si="5"/>
        <v>96859.25175000001</v>
      </c>
    </row>
    <row r="35" spans="2:10" ht="14.25">
      <c r="B35" s="197">
        <v>19</v>
      </c>
      <c r="C35" s="198" t="s">
        <v>308</v>
      </c>
      <c r="D35" s="199"/>
      <c r="E35" s="201"/>
      <c r="F35" s="201"/>
      <c r="G35" s="201"/>
      <c r="H35" s="201"/>
      <c r="I35" s="201"/>
      <c r="J35" s="201"/>
    </row>
    <row r="36" spans="2:10" ht="14.25">
      <c r="B36" s="197">
        <v>20</v>
      </c>
      <c r="C36" s="198" t="s">
        <v>428</v>
      </c>
      <c r="D36" s="199" t="s">
        <v>427</v>
      </c>
      <c r="E36" s="200"/>
      <c r="F36" s="200"/>
      <c r="G36" s="200"/>
      <c r="H36" s="200"/>
      <c r="I36" s="200"/>
      <c r="J36" s="200"/>
    </row>
    <row r="37" spans="2:10" ht="15">
      <c r="B37" s="195" t="s">
        <v>310</v>
      </c>
      <c r="C37" s="196" t="s">
        <v>311</v>
      </c>
      <c r="D37" s="199"/>
      <c r="E37" s="200"/>
      <c r="F37" s="200"/>
      <c r="G37" s="200"/>
      <c r="H37" s="200"/>
      <c r="I37" s="200"/>
      <c r="J37" s="200"/>
    </row>
    <row r="38" spans="2:10" ht="14.25">
      <c r="B38" s="197">
        <v>21</v>
      </c>
      <c r="C38" s="198" t="s">
        <v>429</v>
      </c>
      <c r="D38" s="199" t="s">
        <v>430</v>
      </c>
      <c r="E38" s="200"/>
      <c r="F38" s="200"/>
      <c r="G38" s="200"/>
      <c r="H38" s="200"/>
      <c r="I38" s="200"/>
      <c r="J38" s="200"/>
    </row>
    <row r="39" spans="2:10" ht="14.25">
      <c r="B39" s="197">
        <v>22</v>
      </c>
      <c r="C39" s="198" t="s">
        <v>431</v>
      </c>
      <c r="D39" s="199" t="s">
        <v>430</v>
      </c>
      <c r="E39" s="200"/>
      <c r="F39" s="200"/>
      <c r="G39" s="200"/>
      <c r="H39" s="200"/>
      <c r="I39" s="200"/>
      <c r="J39" s="200"/>
    </row>
    <row r="40" spans="2:10" ht="14.25">
      <c r="B40" s="197">
        <v>23</v>
      </c>
      <c r="C40" s="198" t="s">
        <v>432</v>
      </c>
      <c r="D40" s="199" t="s">
        <v>430</v>
      </c>
      <c r="E40" s="200"/>
      <c r="F40" s="200"/>
      <c r="G40" s="200"/>
      <c r="H40" s="200"/>
      <c r="I40" s="200"/>
      <c r="J40" s="200"/>
    </row>
    <row r="41" spans="2:10" ht="14.25">
      <c r="B41" s="197">
        <v>24</v>
      </c>
      <c r="C41" s="198" t="s">
        <v>433</v>
      </c>
      <c r="D41" s="199" t="s">
        <v>430</v>
      </c>
      <c r="E41" s="200"/>
      <c r="F41" s="200"/>
      <c r="G41" s="200"/>
      <c r="H41" s="200"/>
      <c r="I41" s="200"/>
      <c r="J41" s="200"/>
    </row>
    <row r="42" spans="2:10" ht="14.25">
      <c r="B42" s="197">
        <v>25</v>
      </c>
      <c r="C42" s="198" t="s">
        <v>434</v>
      </c>
      <c r="D42" s="199" t="s">
        <v>430</v>
      </c>
      <c r="E42" s="200"/>
      <c r="F42" s="200"/>
      <c r="G42" s="200"/>
      <c r="H42" s="200"/>
      <c r="I42" s="200"/>
      <c r="J42" s="200"/>
    </row>
    <row r="43" spans="2:10" ht="14.25">
      <c r="B43" s="197">
        <v>26</v>
      </c>
      <c r="C43" s="198" t="s">
        <v>435</v>
      </c>
      <c r="D43" s="199" t="s">
        <v>430</v>
      </c>
      <c r="E43" s="200"/>
      <c r="F43" s="200"/>
      <c r="G43" s="200"/>
      <c r="H43" s="200"/>
      <c r="I43" s="200"/>
      <c r="J43" s="200"/>
    </row>
    <row r="44" spans="2:10" ht="14.25">
      <c r="B44" s="197">
        <v>27</v>
      </c>
      <c r="C44" s="198" t="s">
        <v>436</v>
      </c>
      <c r="D44" s="199" t="s">
        <v>430</v>
      </c>
      <c r="E44" s="200"/>
      <c r="F44" s="200"/>
      <c r="G44" s="200"/>
      <c r="H44" s="200"/>
      <c r="I44" s="200"/>
      <c r="J44" s="200"/>
    </row>
    <row r="45" spans="2:10" ht="14.25">
      <c r="B45" s="197">
        <v>28</v>
      </c>
      <c r="C45" s="198" t="s">
        <v>437</v>
      </c>
      <c r="D45" s="199" t="s">
        <v>430</v>
      </c>
      <c r="E45" s="200"/>
      <c r="F45" s="200"/>
      <c r="G45" s="200"/>
      <c r="H45" s="200"/>
      <c r="I45" s="200"/>
      <c r="J45" s="200"/>
    </row>
    <row r="46" spans="2:10" ht="14.25">
      <c r="B46" s="197">
        <v>29</v>
      </c>
      <c r="C46" s="198" t="s">
        <v>438</v>
      </c>
      <c r="D46" s="199" t="s">
        <v>430</v>
      </c>
      <c r="E46" s="200"/>
      <c r="F46" s="200"/>
      <c r="G46" s="200"/>
      <c r="H46" s="200"/>
      <c r="I46" s="200"/>
      <c r="J46" s="200"/>
    </row>
    <row r="47" spans="2:10" ht="14.25">
      <c r="B47" s="197">
        <v>30</v>
      </c>
      <c r="C47" s="198" t="s">
        <v>439</v>
      </c>
      <c r="D47" s="199" t="s">
        <v>487</v>
      </c>
      <c r="E47" s="280">
        <v>9831</v>
      </c>
      <c r="F47" s="281"/>
      <c r="G47" s="281"/>
      <c r="H47" s="281"/>
      <c r="I47" s="281"/>
      <c r="J47" s="281"/>
    </row>
    <row r="49" spans="2:10" ht="15.75" thickBot="1">
      <c r="B49" s="203" t="s">
        <v>220</v>
      </c>
    </row>
    <row r="50" spans="2:10">
      <c r="B50" s="204"/>
      <c r="C50" s="205" t="s">
        <v>12</v>
      </c>
      <c r="D50" s="206"/>
      <c r="E50" s="172"/>
      <c r="F50" s="172"/>
      <c r="G50" s="172"/>
      <c r="H50" s="172"/>
      <c r="I50" s="172"/>
      <c r="J50" s="172"/>
    </row>
    <row r="51" spans="2:10">
      <c r="B51" s="207">
        <v>1</v>
      </c>
      <c r="C51" s="202" t="s">
        <v>470</v>
      </c>
      <c r="D51" s="199" t="s">
        <v>415</v>
      </c>
      <c r="E51" s="208">
        <v>71.491</v>
      </c>
      <c r="F51" s="208">
        <v>64.152000000000001</v>
      </c>
      <c r="G51" s="208">
        <v>95.906000000000006</v>
      </c>
      <c r="H51" s="208">
        <v>100.432</v>
      </c>
      <c r="I51" s="208">
        <v>19.733000000000001</v>
      </c>
      <c r="J51" s="208">
        <v>13.164</v>
      </c>
    </row>
    <row r="52" spans="2:10">
      <c r="B52" s="207">
        <v>2</v>
      </c>
      <c r="C52" s="202" t="s">
        <v>471</v>
      </c>
      <c r="D52" s="199" t="s">
        <v>415</v>
      </c>
      <c r="E52" s="208"/>
      <c r="F52" s="208">
        <v>2.1349999999999998</v>
      </c>
      <c r="G52" s="208"/>
      <c r="H52" s="208"/>
      <c r="I52" s="208"/>
      <c r="J52" s="208"/>
    </row>
    <row r="53" spans="2:10">
      <c r="B53" s="207">
        <v>3</v>
      </c>
      <c r="C53" s="202" t="s">
        <v>472</v>
      </c>
      <c r="D53" s="199" t="s">
        <v>416</v>
      </c>
      <c r="E53" s="208">
        <v>0.45157278007713603</v>
      </c>
      <c r="F53" s="208">
        <v>0.62303803212733921</v>
      </c>
      <c r="G53" s="208">
        <v>0.64280659002881912</v>
      </c>
      <c r="H53" s="208">
        <v>0.97167215591822098</v>
      </c>
      <c r="I53" s="208">
        <v>0.1322597380876972</v>
      </c>
      <c r="J53" s="208">
        <v>0.1275055190037</v>
      </c>
    </row>
    <row r="54" spans="2:10" ht="13.5" thickBot="1">
      <c r="B54" s="209">
        <v>4</v>
      </c>
      <c r="C54" s="210" t="s">
        <v>473</v>
      </c>
      <c r="D54" s="211" t="s">
        <v>427</v>
      </c>
      <c r="E54" s="282">
        <v>79223.462486414719</v>
      </c>
      <c r="F54" s="283"/>
      <c r="G54" s="282">
        <v>82229.560551041577</v>
      </c>
      <c r="H54" s="283"/>
      <c r="I54" s="282">
        <v>78963.205487247222</v>
      </c>
      <c r="J54" s="283"/>
    </row>
  </sheetData>
  <mergeCells count="13">
    <mergeCell ref="E47:J47"/>
    <mergeCell ref="E54:F54"/>
    <mergeCell ref="G54:H54"/>
    <mergeCell ref="I54:J54"/>
    <mergeCell ref="B2:J2"/>
    <mergeCell ref="B3:J3"/>
    <mergeCell ref="B4:J4"/>
    <mergeCell ref="B6:B7"/>
    <mergeCell ref="C6:C7"/>
    <mergeCell ref="D6:D7"/>
    <mergeCell ref="E6:F6"/>
    <mergeCell ref="G6:H6"/>
    <mergeCell ref="I6:J6"/>
  </mergeCells>
  <pageMargins left="0.25" right="0.2" top="0.25" bottom="0.25" header="0.3" footer="0.3"/>
  <pageSetup paperSize="9" scale="73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B2:G19"/>
  <sheetViews>
    <sheetView showGridLines="0" view="pageBreakPreview" zoomScaleNormal="91" zoomScaleSheetLayoutView="100" workbookViewId="0">
      <selection activeCell="B1" sqref="B1:G19"/>
    </sheetView>
  </sheetViews>
  <sheetFormatPr defaultColWidth="9.28515625" defaultRowHeight="14.25"/>
  <cols>
    <col min="1" max="1" width="2.42578125" style="83" customWidth="1"/>
    <col min="2" max="2" width="31.7109375" style="83" customWidth="1"/>
    <col min="3" max="3" width="8.42578125" style="83" customWidth="1"/>
    <col min="4" max="4" width="9.28515625" style="83" customWidth="1"/>
    <col min="5" max="5" width="12" style="83" customWidth="1"/>
    <col min="6" max="6" width="9.28515625" style="83" customWidth="1"/>
    <col min="7" max="7" width="11.140625" style="83" customWidth="1"/>
    <col min="8" max="16384" width="9.28515625" style="83"/>
  </cols>
  <sheetData>
    <row r="2" spans="2:7" ht="15">
      <c r="C2" s="32" t="s">
        <v>381</v>
      </c>
    </row>
    <row r="3" spans="2:7" ht="15">
      <c r="C3" s="32" t="s">
        <v>467</v>
      </c>
    </row>
    <row r="4" spans="2:7" ht="15">
      <c r="C4" s="35" t="s">
        <v>325</v>
      </c>
    </row>
    <row r="5" spans="2:7" ht="10.5" customHeight="1"/>
    <row r="6" spans="2:7" ht="15">
      <c r="B6" s="288" t="s">
        <v>12</v>
      </c>
      <c r="C6" s="288" t="s">
        <v>191</v>
      </c>
      <c r="D6" s="288" t="s">
        <v>33</v>
      </c>
      <c r="E6" s="259" t="s">
        <v>382</v>
      </c>
      <c r="F6" s="260"/>
      <c r="G6" s="261"/>
    </row>
    <row r="7" spans="2:7" ht="39" customHeight="1">
      <c r="B7" s="288"/>
      <c r="C7" s="288"/>
      <c r="D7" s="288"/>
      <c r="E7" s="15" t="s">
        <v>349</v>
      </c>
      <c r="F7" s="15" t="s">
        <v>218</v>
      </c>
      <c r="G7" s="15" t="s">
        <v>190</v>
      </c>
    </row>
    <row r="8" spans="2:7" ht="15">
      <c r="B8" s="288"/>
      <c r="C8" s="288"/>
      <c r="D8" s="288"/>
      <c r="E8" s="15" t="s">
        <v>8</v>
      </c>
      <c r="F8" s="15" t="s">
        <v>10</v>
      </c>
      <c r="G8" s="15" t="s">
        <v>211</v>
      </c>
    </row>
    <row r="9" spans="2:7">
      <c r="B9" s="88" t="s">
        <v>153</v>
      </c>
      <c r="C9" s="91" t="s">
        <v>332</v>
      </c>
      <c r="D9" s="91" t="s">
        <v>36</v>
      </c>
      <c r="E9" s="28">
        <v>10</v>
      </c>
      <c r="F9" s="98">
        <f>'F10'!F28</f>
        <v>23.464815089793962</v>
      </c>
      <c r="G9" s="98">
        <f t="shared" ref="G9:G16" si="0">F9</f>
        <v>23.464815089793962</v>
      </c>
    </row>
    <row r="10" spans="2:7">
      <c r="B10" s="89" t="s">
        <v>189</v>
      </c>
      <c r="C10" s="92" t="s">
        <v>342</v>
      </c>
      <c r="D10" s="92" t="s">
        <v>43</v>
      </c>
      <c r="E10" s="28">
        <v>3000</v>
      </c>
      <c r="F10" s="100">
        <f>'F10'!F34</f>
        <v>3634.887661012147</v>
      </c>
      <c r="G10" s="100">
        <f t="shared" si="0"/>
        <v>3634.887661012147</v>
      </c>
    </row>
    <row r="11" spans="2:7">
      <c r="B11" s="88" t="s">
        <v>326</v>
      </c>
      <c r="C11" s="91" t="s">
        <v>333</v>
      </c>
      <c r="D11" s="91" t="s">
        <v>45</v>
      </c>
      <c r="E11" s="28">
        <v>0.5</v>
      </c>
      <c r="F11" s="98">
        <f>'F10'!F38</f>
        <v>17.299175612497102</v>
      </c>
      <c r="G11" s="98">
        <f t="shared" si="0"/>
        <v>17.299175612497102</v>
      </c>
    </row>
    <row r="12" spans="2:7">
      <c r="B12" s="88" t="s">
        <v>327</v>
      </c>
      <c r="C12" s="91" t="s">
        <v>334</v>
      </c>
      <c r="D12" s="91" t="s">
        <v>335</v>
      </c>
      <c r="E12" s="100">
        <v>9381</v>
      </c>
      <c r="F12" s="100">
        <f>E12</f>
        <v>9381</v>
      </c>
      <c r="G12" s="100">
        <f t="shared" si="0"/>
        <v>9381</v>
      </c>
    </row>
    <row r="13" spans="2:7">
      <c r="B13" s="88" t="s">
        <v>328</v>
      </c>
      <c r="C13" s="91" t="s">
        <v>336</v>
      </c>
      <c r="D13" s="91" t="s">
        <v>337</v>
      </c>
      <c r="E13" s="98">
        <v>8.0817547554092692E-2</v>
      </c>
      <c r="F13" s="98">
        <f>E13</f>
        <v>8.0817547554092692E-2</v>
      </c>
      <c r="G13" s="98">
        <f t="shared" si="0"/>
        <v>8.0817547554092692E-2</v>
      </c>
    </row>
    <row r="14" spans="2:7">
      <c r="B14" s="88" t="s">
        <v>343</v>
      </c>
      <c r="C14" s="91" t="s">
        <v>338</v>
      </c>
      <c r="D14" s="91" t="s">
        <v>312</v>
      </c>
      <c r="E14" s="100">
        <v>3575.03</v>
      </c>
      <c r="F14" s="100">
        <f>E14</f>
        <v>3575.03</v>
      </c>
      <c r="G14" s="100">
        <f t="shared" si="0"/>
        <v>3575.03</v>
      </c>
    </row>
    <row r="15" spans="2:7">
      <c r="B15" s="88" t="s">
        <v>329</v>
      </c>
      <c r="C15" s="91" t="s">
        <v>339</v>
      </c>
      <c r="D15" s="91" t="s">
        <v>340</v>
      </c>
      <c r="E15" s="98">
        <v>5.2831705895100596</v>
      </c>
      <c r="F15" s="98">
        <f>E15</f>
        <v>5.2831705895100596</v>
      </c>
      <c r="G15" s="98">
        <f t="shared" si="0"/>
        <v>5.2831705895100596</v>
      </c>
    </row>
    <row r="16" spans="2:7">
      <c r="B16" s="88" t="s">
        <v>330</v>
      </c>
      <c r="C16" s="91"/>
      <c r="D16" s="91" t="s">
        <v>341</v>
      </c>
      <c r="E16" s="98">
        <f>(E10-(E11*E12/1000))/E14</f>
        <v>0.83784178034869627</v>
      </c>
      <c r="F16" s="98">
        <f>(F10-(F11*F12/1000))/F14</f>
        <v>0.97134963751110104</v>
      </c>
      <c r="G16" s="98">
        <f t="shared" si="0"/>
        <v>0.97134963751110104</v>
      </c>
    </row>
    <row r="17" spans="2:7" ht="15">
      <c r="B17" s="88" t="s">
        <v>385</v>
      </c>
      <c r="C17" s="91"/>
      <c r="D17" s="90" t="s">
        <v>186</v>
      </c>
      <c r="E17" s="130">
        <f>IFERROR(((E10-E11*E12/1000)*E15/E14)*100/(100-E9),0)</f>
        <v>4.9182900584455327</v>
      </c>
      <c r="F17" s="130">
        <f>IFERROR(((F10-F11*F12/1000)*F15/F14)*100/(100-F9),0)</f>
        <v>6.7051589971994376</v>
      </c>
      <c r="G17" s="130">
        <f>IFERROR(((G10-G11*G12/1000)*G15/G14)*100/(100-G9),0)</f>
        <v>6.7051589971994376</v>
      </c>
    </row>
    <row r="18" spans="2:7" ht="15">
      <c r="B18" s="88" t="s">
        <v>386</v>
      </c>
      <c r="C18" s="91"/>
      <c r="D18" s="90" t="s">
        <v>186</v>
      </c>
      <c r="E18" s="130">
        <f>IFERROR((E11*E13)*100/(100-E9),0)</f>
        <v>4.4898637530051494E-2</v>
      </c>
      <c r="F18" s="130">
        <f>IFERROR((F11*F13)*100/(100-F9),0)</f>
        <v>1.8267113999265325</v>
      </c>
      <c r="G18" s="130">
        <f t="shared" ref="G18" si="1">ROUND(IFERROR((G11*G13)*100/(100-G9),0),3)</f>
        <v>1.827</v>
      </c>
    </row>
    <row r="19" spans="2:7" ht="15">
      <c r="B19" s="90" t="s">
        <v>331</v>
      </c>
      <c r="C19" s="91"/>
      <c r="D19" s="90" t="s">
        <v>186</v>
      </c>
      <c r="E19" s="129">
        <f>IFERROR(((E10-E11*E12/1000)*E15/E14+E11*E13)*100/(100-E9),0)</f>
        <v>4.9631886959755835</v>
      </c>
      <c r="F19" s="129">
        <f>IFERROR(((F10-F11*F12/1000)*F15/F14+F11*F13)*100/(100-F9),0)</f>
        <v>8.5318703971259708</v>
      </c>
      <c r="G19" s="129">
        <f t="shared" ref="G19" si="2">ROUND(IFERROR(((G10-G11*G12/1000)*G15/G14+G11*G13)*100/(100-G9),0),3)</f>
        <v>8.532</v>
      </c>
    </row>
  </sheetData>
  <mergeCells count="4">
    <mergeCell ref="E6:G6"/>
    <mergeCell ref="B6:B8"/>
    <mergeCell ref="D6:D8"/>
    <mergeCell ref="C6:C8"/>
  </mergeCells>
  <pageMargins left="0.2" right="0.2" top="0.75" bottom="0.75" header="0.3" footer="0.3"/>
  <pageSetup paperSize="9" scale="1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23"/>
  <sheetViews>
    <sheetView showGridLines="0" zoomScale="93" zoomScaleNormal="93" zoomScaleSheetLayoutView="91" workbookViewId="0">
      <selection activeCell="L12" sqref="L12"/>
    </sheetView>
  </sheetViews>
  <sheetFormatPr defaultColWidth="9.28515625" defaultRowHeight="14.25"/>
  <cols>
    <col min="1" max="1" width="3" style="13" customWidth="1"/>
    <col min="2" max="2" width="5.7109375" style="13" customWidth="1"/>
    <col min="3" max="3" width="37.7109375" style="13" customWidth="1"/>
    <col min="4" max="4" width="12.140625" style="13" customWidth="1"/>
    <col min="5" max="5" width="11.28515625" style="13" customWidth="1"/>
    <col min="6" max="6" width="12.42578125" style="13" customWidth="1"/>
    <col min="7" max="7" width="11" style="13" customWidth="1"/>
    <col min="8" max="8" width="14.5703125" style="13" customWidth="1"/>
    <col min="9" max="9" width="12.28515625" style="13" customWidth="1"/>
    <col min="10" max="16384" width="9.28515625" style="13"/>
  </cols>
  <sheetData>
    <row r="2" spans="2:9" ht="14.25" customHeight="1">
      <c r="B2" s="248" t="s">
        <v>381</v>
      </c>
      <c r="C2" s="248"/>
      <c r="D2" s="248"/>
      <c r="E2" s="248"/>
      <c r="F2" s="248"/>
      <c r="G2" s="248"/>
      <c r="H2" s="248"/>
      <c r="I2" s="248"/>
    </row>
    <row r="3" spans="2:9" ht="14.25" customHeight="1">
      <c r="B3" s="248" t="s">
        <v>467</v>
      </c>
      <c r="C3" s="248"/>
      <c r="D3" s="248"/>
      <c r="E3" s="248"/>
      <c r="F3" s="248"/>
      <c r="G3" s="248"/>
      <c r="H3" s="248"/>
      <c r="I3" s="248"/>
    </row>
    <row r="4" spans="2:9" s="4" customFormat="1" ht="14.25" customHeight="1">
      <c r="B4" s="244" t="s">
        <v>384</v>
      </c>
      <c r="C4" s="244"/>
      <c r="D4" s="244"/>
      <c r="E4" s="244"/>
      <c r="F4" s="244"/>
      <c r="G4" s="244"/>
      <c r="H4" s="244"/>
      <c r="I4" s="244"/>
    </row>
    <row r="6" spans="2:9">
      <c r="I6" s="13" t="s">
        <v>486</v>
      </c>
    </row>
    <row r="7" spans="2:9" ht="12.75" customHeight="1">
      <c r="B7" s="252" t="s">
        <v>175</v>
      </c>
      <c r="C7" s="255" t="s">
        <v>12</v>
      </c>
      <c r="D7" s="249" t="s">
        <v>33</v>
      </c>
      <c r="E7" s="255" t="s">
        <v>1</v>
      </c>
      <c r="F7" s="259" t="s">
        <v>382</v>
      </c>
      <c r="G7" s="260"/>
      <c r="H7" s="261"/>
      <c r="I7" s="257" t="s">
        <v>9</v>
      </c>
    </row>
    <row r="8" spans="2:9" ht="60" customHeight="1">
      <c r="B8" s="253"/>
      <c r="C8" s="255"/>
      <c r="D8" s="250"/>
      <c r="E8" s="255"/>
      <c r="F8" s="15" t="s">
        <v>349</v>
      </c>
      <c r="G8" s="15" t="s">
        <v>210</v>
      </c>
      <c r="H8" s="15" t="s">
        <v>448</v>
      </c>
      <c r="I8" s="257"/>
    </row>
    <row r="9" spans="2:9" ht="15">
      <c r="B9" s="254"/>
      <c r="C9" s="256"/>
      <c r="D9" s="251"/>
      <c r="E9" s="256"/>
      <c r="F9" s="15" t="s">
        <v>8</v>
      </c>
      <c r="G9" s="15" t="s">
        <v>10</v>
      </c>
      <c r="H9" s="15" t="s">
        <v>211</v>
      </c>
      <c r="I9" s="258"/>
    </row>
    <row r="10" spans="2:9" ht="15">
      <c r="B10" s="22" t="s">
        <v>61</v>
      </c>
      <c r="C10" s="23" t="s">
        <v>214</v>
      </c>
      <c r="D10" s="20"/>
      <c r="E10" s="20"/>
      <c r="F10" s="15"/>
      <c r="G10" s="15"/>
      <c r="H10" s="15"/>
      <c r="I10" s="21"/>
    </row>
    <row r="11" spans="2:9" ht="15">
      <c r="B11" s="2">
        <v>1</v>
      </c>
      <c r="C11" s="3" t="s">
        <v>30</v>
      </c>
      <c r="D11" s="2" t="s">
        <v>187</v>
      </c>
      <c r="E11" s="17" t="s">
        <v>247</v>
      </c>
      <c r="F11" s="114">
        <f>'F2'!E14</f>
        <v>17.48</v>
      </c>
      <c r="G11" s="114">
        <f>'F2'!F14</f>
        <v>23.78</v>
      </c>
      <c r="H11" s="114">
        <f>'F2'!G14</f>
        <v>23.78</v>
      </c>
      <c r="I11" s="118"/>
    </row>
    <row r="12" spans="2:9" ht="15">
      <c r="B12" s="2">
        <f t="shared" ref="B12:B17" si="0">B11+1</f>
        <v>2</v>
      </c>
      <c r="C12" s="18" t="s">
        <v>150</v>
      </c>
      <c r="D12" s="2" t="s">
        <v>187</v>
      </c>
      <c r="E12" s="17" t="s">
        <v>17</v>
      </c>
      <c r="F12" s="119">
        <v>1.18</v>
      </c>
      <c r="G12" s="119">
        <f>H12</f>
        <v>3.32</v>
      </c>
      <c r="H12" s="114">
        <f>'F4'!K23</f>
        <v>3.32</v>
      </c>
      <c r="I12" s="118"/>
    </row>
    <row r="13" spans="2:9" ht="15">
      <c r="B13" s="2">
        <f t="shared" si="0"/>
        <v>3</v>
      </c>
      <c r="C13" s="3" t="s">
        <v>212</v>
      </c>
      <c r="D13" s="2" t="s">
        <v>187</v>
      </c>
      <c r="E13" s="16" t="s">
        <v>23</v>
      </c>
      <c r="F13" s="114">
        <f>'F5'!D21</f>
        <v>0</v>
      </c>
      <c r="G13" s="114">
        <f>'F5'!E21</f>
        <v>0</v>
      </c>
      <c r="H13" s="114">
        <f>'F5'!F21</f>
        <v>0</v>
      </c>
      <c r="I13" s="118"/>
    </row>
    <row r="14" spans="2:9" ht="15">
      <c r="B14" s="2">
        <f t="shared" si="0"/>
        <v>4</v>
      </c>
      <c r="C14" s="18" t="s">
        <v>31</v>
      </c>
      <c r="D14" s="2" t="s">
        <v>187</v>
      </c>
      <c r="E14" s="16" t="s">
        <v>24</v>
      </c>
      <c r="F14" s="114">
        <f>'F6'!D19</f>
        <v>0.2</v>
      </c>
      <c r="G14" s="114">
        <f ca="1">'F6'!E20</f>
        <v>1.23</v>
      </c>
      <c r="H14" s="114">
        <f ca="1">'F6'!F20</f>
        <v>1.23</v>
      </c>
      <c r="I14" s="118"/>
    </row>
    <row r="15" spans="2:9" ht="15">
      <c r="B15" s="2">
        <f t="shared" si="0"/>
        <v>5</v>
      </c>
      <c r="C15" s="3" t="s">
        <v>213</v>
      </c>
      <c r="D15" s="2" t="s">
        <v>187</v>
      </c>
      <c r="E15" s="16" t="s">
        <v>25</v>
      </c>
      <c r="F15" s="114">
        <f>'F7'!D21</f>
        <v>1.03</v>
      </c>
      <c r="G15" s="114">
        <f>'F7'!E22</f>
        <v>1.39</v>
      </c>
      <c r="H15" s="114">
        <f>'F7'!F22</f>
        <v>1.39</v>
      </c>
      <c r="I15" s="118"/>
    </row>
    <row r="16" spans="2:9" ht="15">
      <c r="B16" s="2">
        <f t="shared" si="0"/>
        <v>6</v>
      </c>
      <c r="C16" s="3" t="s">
        <v>32</v>
      </c>
      <c r="D16" s="2" t="s">
        <v>187</v>
      </c>
      <c r="E16" s="16" t="s">
        <v>26</v>
      </c>
      <c r="F16" s="114">
        <f>'F8'!D29</f>
        <v>0.26</v>
      </c>
      <c r="G16" s="114">
        <f>'F8'!E29</f>
        <v>1.8</v>
      </c>
      <c r="H16" s="114">
        <f>G16</f>
        <v>1.8</v>
      </c>
      <c r="I16" s="118"/>
    </row>
    <row r="17" spans="2:9" ht="15">
      <c r="B17" s="14">
        <f t="shared" si="0"/>
        <v>7</v>
      </c>
      <c r="C17" s="19" t="s">
        <v>214</v>
      </c>
      <c r="D17" s="14" t="s">
        <v>187</v>
      </c>
      <c r="E17" s="16"/>
      <c r="F17" s="114">
        <f>SUM(F11:F15)-F16</f>
        <v>19.63</v>
      </c>
      <c r="G17" s="114">
        <f ca="1">SUM(G11:G15)-G16</f>
        <v>27.92</v>
      </c>
      <c r="H17" s="114">
        <f t="shared" ref="H17" ca="1" si="1">SUM(H11:H15)-H16</f>
        <v>27.92</v>
      </c>
      <c r="I17" s="118"/>
    </row>
    <row r="18" spans="2:9" ht="15">
      <c r="B18" s="14" t="s">
        <v>65</v>
      </c>
      <c r="C18" s="14" t="s">
        <v>215</v>
      </c>
      <c r="D18" s="16"/>
      <c r="E18" s="16"/>
      <c r="F18" s="16"/>
      <c r="G18" s="3"/>
      <c r="H18" s="3"/>
      <c r="I18" s="3"/>
    </row>
    <row r="19" spans="2:9" ht="15">
      <c r="B19" s="2">
        <v>1</v>
      </c>
      <c r="C19" s="16" t="s">
        <v>216</v>
      </c>
      <c r="D19" s="2" t="s">
        <v>186</v>
      </c>
      <c r="E19" s="16" t="s">
        <v>147</v>
      </c>
      <c r="F19" s="131">
        <f>'F12'!E19</f>
        <v>4.9631886959755835</v>
      </c>
      <c r="G19" s="131">
        <f>'F12'!F19</f>
        <v>8.5318703971259708</v>
      </c>
      <c r="H19" s="131">
        <f>'F12'!G19</f>
        <v>8.532</v>
      </c>
      <c r="I19" s="3"/>
    </row>
    <row r="20" spans="2:9" ht="15">
      <c r="B20" s="2">
        <f>B19+1</f>
        <v>2</v>
      </c>
      <c r="C20" s="16" t="s">
        <v>217</v>
      </c>
      <c r="D20" s="2" t="s">
        <v>39</v>
      </c>
      <c r="E20" s="16" t="s">
        <v>28</v>
      </c>
      <c r="F20" s="114">
        <f>'F10'!F23</f>
        <v>16.143190000000001</v>
      </c>
      <c r="G20" s="114">
        <f>F20</f>
        <v>16.143190000000001</v>
      </c>
      <c r="H20" s="114">
        <f>G20</f>
        <v>16.143190000000001</v>
      </c>
      <c r="I20" s="3"/>
    </row>
    <row r="21" spans="2:9" ht="15">
      <c r="B21" s="2">
        <f>B20+1</f>
        <v>3</v>
      </c>
      <c r="C21" s="16" t="s">
        <v>215</v>
      </c>
      <c r="D21" s="2" t="s">
        <v>187</v>
      </c>
      <c r="E21" s="16"/>
      <c r="F21" s="114">
        <f>F19*F20/10</f>
        <v>8.0121698124986089</v>
      </c>
      <c r="G21" s="114">
        <f t="shared" ref="G21:H21" si="2">G19*G20/10</f>
        <v>13.773160487618</v>
      </c>
      <c r="H21" s="114">
        <f t="shared" si="2"/>
        <v>13.773369708000001</v>
      </c>
      <c r="I21" s="3"/>
    </row>
    <row r="22" spans="2:9" ht="15">
      <c r="B22" s="14" t="s">
        <v>66</v>
      </c>
      <c r="C22" s="14" t="s">
        <v>373</v>
      </c>
      <c r="D22" s="2" t="s">
        <v>187</v>
      </c>
      <c r="E22" s="3"/>
      <c r="F22" s="157">
        <f>F17+F21</f>
        <v>27.642169812498608</v>
      </c>
      <c r="G22" s="114">
        <f t="shared" ref="G22:H22" ca="1" si="3">G17+G21</f>
        <v>41.693160487618002</v>
      </c>
      <c r="H22" s="114">
        <f t="shared" ca="1" si="3"/>
        <v>41.693369708000006</v>
      </c>
      <c r="I22" s="3"/>
    </row>
    <row r="23" spans="2:9">
      <c r="F23" s="132"/>
    </row>
  </sheetData>
  <mergeCells count="9">
    <mergeCell ref="B2:I2"/>
    <mergeCell ref="B3:I3"/>
    <mergeCell ref="B4:I4"/>
    <mergeCell ref="D7:D9"/>
    <mergeCell ref="B7:B9"/>
    <mergeCell ref="C7:C9"/>
    <mergeCell ref="E7:E9"/>
    <mergeCell ref="I7:I9"/>
    <mergeCell ref="F7:H7"/>
  </mergeCells>
  <pageMargins left="0.23" right="0.23" top="0.92" bottom="1" header="0.5" footer="0.5"/>
  <pageSetup paperSize="9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13"/>
  <sheetViews>
    <sheetView showGridLines="0" view="pageBreakPreview" zoomScale="81" zoomScaleNormal="93" zoomScaleSheetLayoutView="81" workbookViewId="0">
      <selection activeCell="Q21" sqref="Q21"/>
    </sheetView>
  </sheetViews>
  <sheetFormatPr defaultColWidth="9.28515625" defaultRowHeight="14.25"/>
  <cols>
    <col min="1" max="1" width="4.28515625" style="5" customWidth="1"/>
    <col min="2" max="2" width="30.42578125" style="5" customWidth="1"/>
    <col min="3" max="6" width="10.7109375" style="5" customWidth="1"/>
    <col min="7" max="16384" width="9.28515625" style="5"/>
  </cols>
  <sheetData>
    <row r="1" spans="2:7" ht="15">
      <c r="B1" s="93"/>
    </row>
    <row r="2" spans="2:7" ht="15">
      <c r="C2" s="32" t="s">
        <v>381</v>
      </c>
    </row>
    <row r="3" spans="2:7" ht="15">
      <c r="C3" s="32" t="s">
        <v>467</v>
      </c>
    </row>
    <row r="4" spans="2:7" ht="15">
      <c r="C4" s="35" t="s">
        <v>344</v>
      </c>
      <c r="D4" s="70"/>
      <c r="E4" s="70"/>
    </row>
    <row r="5" spans="2:7" ht="15">
      <c r="B5" s="24" t="s">
        <v>382</v>
      </c>
      <c r="C5" s="70"/>
      <c r="D5" s="70"/>
      <c r="E5" s="70"/>
    </row>
    <row r="6" spans="2:7" ht="15">
      <c r="B6" s="24" t="s">
        <v>10</v>
      </c>
      <c r="C6" s="25"/>
      <c r="D6" s="25"/>
      <c r="F6" s="25" t="s">
        <v>134</v>
      </c>
    </row>
    <row r="7" spans="2:7" s="32" customFormat="1" ht="15" customHeight="1">
      <c r="B7" s="31" t="s">
        <v>345</v>
      </c>
      <c r="C7" s="31" t="s">
        <v>135</v>
      </c>
      <c r="D7" s="31" t="s">
        <v>136</v>
      </c>
      <c r="E7" s="94" t="s">
        <v>137</v>
      </c>
      <c r="F7" s="94" t="s">
        <v>133</v>
      </c>
    </row>
    <row r="8" spans="2:7" s="32" customFormat="1" ht="15">
      <c r="B8" s="156" t="s">
        <v>444</v>
      </c>
      <c r="C8" s="121">
        <v>6.0150295050000002</v>
      </c>
      <c r="D8" s="121">
        <v>5.2112463</v>
      </c>
      <c r="E8" s="121">
        <v>0.16274474</v>
      </c>
      <c r="F8" s="152">
        <f>SUM(C8:E8)</f>
        <v>11.389020545000001</v>
      </c>
    </row>
    <row r="9" spans="2:7" s="32" customFormat="1" ht="15">
      <c r="B9" s="156"/>
      <c r="C9" s="121"/>
      <c r="D9" s="121"/>
      <c r="E9" s="121"/>
      <c r="F9" s="152"/>
    </row>
    <row r="10" spans="2:7" s="32" customFormat="1" ht="15">
      <c r="B10" s="156" t="s">
        <v>445</v>
      </c>
      <c r="C10" s="121">
        <v>2.5108804949999999</v>
      </c>
      <c r="D10" s="121">
        <v>2.1753536999999996</v>
      </c>
      <c r="E10" s="121">
        <v>6.7935259999999997E-2</v>
      </c>
      <c r="F10" s="152">
        <f t="shared" ref="F10" si="0">SUM(C10:E10)</f>
        <v>4.7541694549999987</v>
      </c>
    </row>
    <row r="11" spans="2:7">
      <c r="B11" s="37"/>
      <c r="C11" s="27"/>
      <c r="D11" s="27"/>
      <c r="E11" s="27"/>
      <c r="F11" s="27"/>
    </row>
    <row r="12" spans="2:7" ht="15">
      <c r="B12" s="39" t="s">
        <v>133</v>
      </c>
      <c r="C12" s="107">
        <f>C8+C10</f>
        <v>8.5259099999999997</v>
      </c>
      <c r="D12" s="107">
        <f t="shared" ref="D12:F12" si="1">D8+D10</f>
        <v>7.3865999999999996</v>
      </c>
      <c r="E12" s="107">
        <f t="shared" si="1"/>
        <v>0.23068</v>
      </c>
      <c r="F12" s="107">
        <f t="shared" si="1"/>
        <v>16.143190000000001</v>
      </c>
      <c r="G12" s="164"/>
    </row>
    <row r="13" spans="2:7" ht="15">
      <c r="B13" s="24"/>
      <c r="C13" s="70"/>
      <c r="D13" s="70"/>
      <c r="E13" s="70"/>
    </row>
  </sheetData>
  <pageMargins left="0.13" right="0.33" top="1" bottom="0.37" header="0.5" footer="0.5"/>
  <pageSetup paperSize="9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31"/>
  <sheetViews>
    <sheetView showGridLines="0" view="pageBreakPreview" topLeftCell="A17" zoomScale="93" zoomScaleNormal="93" zoomScaleSheetLayoutView="93" workbookViewId="0">
      <selection activeCell="R24" sqref="R24"/>
    </sheetView>
  </sheetViews>
  <sheetFormatPr defaultColWidth="9.28515625" defaultRowHeight="15"/>
  <cols>
    <col min="1" max="1" width="2.42578125" style="13" customWidth="1"/>
    <col min="2" max="2" width="5" style="13" customWidth="1"/>
    <col min="3" max="3" width="40.5703125" style="13" customWidth="1"/>
    <col min="4" max="4" width="13" style="13" customWidth="1"/>
    <col min="5" max="5" width="9.85546875" style="13" customWidth="1"/>
    <col min="6" max="6" width="10.42578125" style="13" customWidth="1"/>
    <col min="7" max="16" width="9" style="13" customWidth="1"/>
    <col min="17" max="17" width="10.42578125" style="26" customWidth="1"/>
    <col min="18" max="16384" width="9.28515625" style="13"/>
  </cols>
  <sheetData>
    <row r="1" spans="2:17" s="5" customFormat="1" ht="15" customHeight="1">
      <c r="Q1" s="25"/>
    </row>
    <row r="2" spans="2:17" s="5" customFormat="1" ht="15" customHeight="1">
      <c r="D2" s="32" t="s">
        <v>381</v>
      </c>
      <c r="Q2" s="25"/>
    </row>
    <row r="3" spans="2:17" s="5" customFormat="1" ht="15" customHeight="1">
      <c r="D3" s="32" t="s">
        <v>467</v>
      </c>
      <c r="Q3" s="25"/>
    </row>
    <row r="4" spans="2:17">
      <c r="B4" s="24" t="s">
        <v>382</v>
      </c>
      <c r="D4" s="35" t="s">
        <v>348</v>
      </c>
    </row>
    <row r="5" spans="2:17">
      <c r="B5" s="36" t="s">
        <v>10</v>
      </c>
    </row>
    <row r="6" spans="2:17" ht="30">
      <c r="B6" s="95" t="s">
        <v>175</v>
      </c>
      <c r="C6" s="95" t="s">
        <v>12</v>
      </c>
      <c r="D6" s="95" t="s">
        <v>33</v>
      </c>
      <c r="E6" s="31" t="s">
        <v>135</v>
      </c>
      <c r="F6" s="31" t="s">
        <v>136</v>
      </c>
      <c r="G6" s="94" t="s">
        <v>137</v>
      </c>
      <c r="H6" s="243" t="s">
        <v>474</v>
      </c>
      <c r="I6" s="243" t="s">
        <v>475</v>
      </c>
      <c r="J6" s="243" t="s">
        <v>476</v>
      </c>
      <c r="K6" s="243" t="s">
        <v>477</v>
      </c>
      <c r="L6" s="243" t="s">
        <v>478</v>
      </c>
      <c r="M6" s="243" t="s">
        <v>479</v>
      </c>
      <c r="N6" s="243" t="s">
        <v>480</v>
      </c>
      <c r="O6" s="243" t="s">
        <v>481</v>
      </c>
      <c r="P6" s="243" t="s">
        <v>482</v>
      </c>
      <c r="Q6" s="242" t="s">
        <v>133</v>
      </c>
    </row>
    <row r="7" spans="2:17" ht="17.25">
      <c r="B7" s="96">
        <v>1</v>
      </c>
      <c r="C7" s="97" t="s">
        <v>154</v>
      </c>
      <c r="D7" s="96" t="s">
        <v>36</v>
      </c>
      <c r="E7" s="191">
        <v>85</v>
      </c>
      <c r="F7" s="191">
        <v>85</v>
      </c>
      <c r="G7" s="191">
        <v>85</v>
      </c>
      <c r="H7" s="191">
        <v>85</v>
      </c>
      <c r="I7" s="191">
        <v>85</v>
      </c>
      <c r="J7" s="191">
        <v>85</v>
      </c>
      <c r="K7" s="191">
        <v>85</v>
      </c>
      <c r="L7" s="191">
        <v>85</v>
      </c>
      <c r="M7" s="191">
        <v>85</v>
      </c>
      <c r="N7" s="191">
        <v>85</v>
      </c>
      <c r="O7" s="191">
        <v>85</v>
      </c>
      <c r="P7" s="191">
        <v>85</v>
      </c>
      <c r="Q7" s="194">
        <v>85</v>
      </c>
    </row>
    <row r="8" spans="2:17" ht="17.25">
      <c r="B8" s="96">
        <f>B7+1</f>
        <v>2</v>
      </c>
      <c r="C8" s="97" t="s">
        <v>176</v>
      </c>
      <c r="D8" s="96" t="s">
        <v>36</v>
      </c>
      <c r="E8" s="191">
        <v>21.03</v>
      </c>
      <c r="F8" s="191">
        <v>21.97</v>
      </c>
      <c r="G8" s="191">
        <v>0.25</v>
      </c>
      <c r="H8" s="191">
        <v>0</v>
      </c>
      <c r="I8" s="191">
        <v>0</v>
      </c>
      <c r="J8" s="191">
        <v>0</v>
      </c>
      <c r="K8" s="191">
        <v>0</v>
      </c>
      <c r="L8" s="191">
        <v>0</v>
      </c>
      <c r="M8" s="191">
        <v>0</v>
      </c>
      <c r="N8" s="191">
        <v>0</v>
      </c>
      <c r="O8" s="191">
        <v>0</v>
      </c>
      <c r="P8" s="191">
        <v>0</v>
      </c>
      <c r="Q8" s="194"/>
    </row>
    <row r="9" spans="2:17" ht="17.25">
      <c r="B9" s="96">
        <f t="shared" ref="B9:B25" si="0">B8+1</f>
        <v>3</v>
      </c>
      <c r="C9" s="97" t="s">
        <v>177</v>
      </c>
      <c r="D9" s="96" t="s">
        <v>36</v>
      </c>
      <c r="E9" s="191">
        <v>21.03</v>
      </c>
      <c r="F9" s="191">
        <v>21.51</v>
      </c>
      <c r="G9" s="191">
        <v>20.51</v>
      </c>
      <c r="H9" s="191">
        <v>0</v>
      </c>
      <c r="I9" s="191">
        <v>0</v>
      </c>
      <c r="J9" s="191">
        <v>0</v>
      </c>
      <c r="K9" s="191">
        <v>0</v>
      </c>
      <c r="L9" s="191">
        <v>0</v>
      </c>
      <c r="M9" s="191">
        <v>0</v>
      </c>
      <c r="N9" s="191">
        <v>0</v>
      </c>
      <c r="O9" s="191">
        <v>0</v>
      </c>
      <c r="P9" s="191">
        <v>0</v>
      </c>
      <c r="Q9" s="194"/>
    </row>
    <row r="10" spans="2:17" ht="17.25">
      <c r="B10" s="96">
        <f t="shared" si="0"/>
        <v>4</v>
      </c>
      <c r="C10" s="97" t="s">
        <v>37</v>
      </c>
      <c r="D10" s="96" t="s">
        <v>36</v>
      </c>
      <c r="E10" s="191">
        <v>85</v>
      </c>
      <c r="F10" s="191">
        <v>85</v>
      </c>
      <c r="G10" s="191">
        <v>85</v>
      </c>
      <c r="H10" s="191">
        <v>85</v>
      </c>
      <c r="I10" s="191">
        <v>85</v>
      </c>
      <c r="J10" s="191">
        <v>85</v>
      </c>
      <c r="K10" s="191">
        <v>85</v>
      </c>
      <c r="L10" s="191">
        <v>85</v>
      </c>
      <c r="M10" s="191">
        <v>85</v>
      </c>
      <c r="N10" s="191">
        <v>85</v>
      </c>
      <c r="O10" s="191">
        <v>85</v>
      </c>
      <c r="P10" s="191">
        <v>85</v>
      </c>
      <c r="Q10" s="194">
        <v>85</v>
      </c>
    </row>
    <row r="11" spans="2:17" ht="17.25">
      <c r="B11" s="96">
        <f t="shared" si="0"/>
        <v>5</v>
      </c>
      <c r="C11" s="97" t="s">
        <v>178</v>
      </c>
      <c r="D11" s="96" t="s">
        <v>36</v>
      </c>
      <c r="E11" s="191">
        <v>23.829267924444444</v>
      </c>
      <c r="F11" s="191">
        <v>20.594451933333335</v>
      </c>
      <c r="G11" s="191">
        <v>1.7620376777777778</v>
      </c>
      <c r="H11" s="191">
        <v>0</v>
      </c>
      <c r="I11" s="191">
        <v>0</v>
      </c>
      <c r="J11" s="191">
        <v>0</v>
      </c>
      <c r="K11" s="191">
        <v>0</v>
      </c>
      <c r="L11" s="191">
        <v>0</v>
      </c>
      <c r="M11" s="191">
        <v>0</v>
      </c>
      <c r="N11" s="191">
        <v>0</v>
      </c>
      <c r="O11" s="191">
        <v>0</v>
      </c>
      <c r="P11" s="191">
        <v>0</v>
      </c>
      <c r="Q11" s="194"/>
    </row>
    <row r="12" spans="2:17" ht="17.25">
      <c r="B12" s="96">
        <f t="shared" si="0"/>
        <v>6</v>
      </c>
      <c r="C12" s="97" t="s">
        <v>179</v>
      </c>
      <c r="D12" s="96" t="s">
        <v>36</v>
      </c>
      <c r="E12" s="191">
        <v>23.829267924444444</v>
      </c>
      <c r="F12" s="191">
        <v>22.185345043715849</v>
      </c>
      <c r="G12" s="191">
        <v>15.452386571428571</v>
      </c>
      <c r="H12" s="191">
        <v>0</v>
      </c>
      <c r="I12" s="191">
        <v>0</v>
      </c>
      <c r="J12" s="191">
        <v>0</v>
      </c>
      <c r="K12" s="191">
        <v>0</v>
      </c>
      <c r="L12" s="191">
        <v>5.7629803278688518</v>
      </c>
      <c r="M12" s="191">
        <v>0</v>
      </c>
      <c r="N12" s="191">
        <v>0</v>
      </c>
      <c r="O12" s="191">
        <v>0</v>
      </c>
      <c r="P12" s="191">
        <v>0</v>
      </c>
      <c r="Q12" s="194"/>
    </row>
    <row r="13" spans="2:17" ht="17.25">
      <c r="B13" s="96">
        <f t="shared" si="0"/>
        <v>7</v>
      </c>
      <c r="C13" s="87" t="s">
        <v>180</v>
      </c>
      <c r="D13" s="99" t="s">
        <v>39</v>
      </c>
      <c r="E13" s="191">
        <v>10.72</v>
      </c>
      <c r="F13" s="191">
        <v>9.58</v>
      </c>
      <c r="G13" s="191">
        <v>0.79</v>
      </c>
      <c r="H13" s="191">
        <v>0</v>
      </c>
      <c r="I13" s="191">
        <v>0</v>
      </c>
      <c r="J13" s="191">
        <v>0</v>
      </c>
      <c r="K13" s="191">
        <v>0</v>
      </c>
      <c r="L13" s="191">
        <v>0</v>
      </c>
      <c r="M13" s="191">
        <v>0</v>
      </c>
      <c r="N13" s="191">
        <v>0</v>
      </c>
      <c r="O13" s="191">
        <v>0</v>
      </c>
      <c r="P13" s="191">
        <v>0</v>
      </c>
      <c r="Q13" s="194">
        <f>SUM(E13:P13)</f>
        <v>21.09</v>
      </c>
    </row>
    <row r="14" spans="2:17" ht="17.25">
      <c r="B14" s="96">
        <f t="shared" si="0"/>
        <v>8</v>
      </c>
      <c r="C14" s="87" t="s">
        <v>181</v>
      </c>
      <c r="D14" s="99" t="s">
        <v>39</v>
      </c>
      <c r="E14" s="191">
        <v>2.2000000000000002</v>
      </c>
      <c r="F14" s="191">
        <v>2.19</v>
      </c>
      <c r="G14" s="191">
        <v>0.56000000000000005</v>
      </c>
      <c r="H14" s="191">
        <v>0</v>
      </c>
      <c r="I14" s="191">
        <v>0</v>
      </c>
      <c r="J14" s="191">
        <v>0</v>
      </c>
      <c r="K14" s="191">
        <v>0</v>
      </c>
      <c r="L14" s="191">
        <v>0</v>
      </c>
      <c r="M14" s="191">
        <v>0</v>
      </c>
      <c r="N14" s="191">
        <v>0</v>
      </c>
      <c r="O14" s="191">
        <v>0</v>
      </c>
      <c r="P14" s="191">
        <v>0</v>
      </c>
      <c r="Q14" s="194">
        <f t="shared" ref="Q14:Q24" si="1">SUM(E14:P14)</f>
        <v>4.9500000000000011</v>
      </c>
    </row>
    <row r="15" spans="2:17" ht="17.25">
      <c r="B15" s="96">
        <f t="shared" si="0"/>
        <v>9</v>
      </c>
      <c r="C15" s="87" t="s">
        <v>197</v>
      </c>
      <c r="D15" s="99" t="s">
        <v>39</v>
      </c>
      <c r="E15" s="191">
        <v>8.52</v>
      </c>
      <c r="F15" s="191">
        <v>7.3900000000000006</v>
      </c>
      <c r="G15" s="191">
        <v>0.22999999999999998</v>
      </c>
      <c r="H15" s="191">
        <v>0</v>
      </c>
      <c r="I15" s="191">
        <v>0</v>
      </c>
      <c r="J15" s="191">
        <v>0</v>
      </c>
      <c r="K15" s="191">
        <v>0</v>
      </c>
      <c r="L15" s="191">
        <v>0</v>
      </c>
      <c r="M15" s="191">
        <v>0</v>
      </c>
      <c r="N15" s="191">
        <v>0</v>
      </c>
      <c r="O15" s="191">
        <v>0</v>
      </c>
      <c r="P15" s="191">
        <v>0</v>
      </c>
      <c r="Q15" s="194">
        <f t="shared" si="1"/>
        <v>16.14</v>
      </c>
    </row>
    <row r="16" spans="2:17" ht="17.25">
      <c r="B16" s="96">
        <f t="shared" si="0"/>
        <v>10</v>
      </c>
      <c r="C16" s="87" t="s">
        <v>198</v>
      </c>
      <c r="D16" s="99" t="s">
        <v>39</v>
      </c>
      <c r="E16" s="191">
        <v>0</v>
      </c>
      <c r="F16" s="191">
        <v>0</v>
      </c>
      <c r="G16" s="191">
        <v>0</v>
      </c>
      <c r="H16" s="191">
        <v>0</v>
      </c>
      <c r="I16" s="191">
        <v>0</v>
      </c>
      <c r="J16" s="191">
        <v>0</v>
      </c>
      <c r="K16" s="191">
        <v>0</v>
      </c>
      <c r="L16" s="191">
        <v>0</v>
      </c>
      <c r="M16" s="191">
        <v>0</v>
      </c>
      <c r="N16" s="191">
        <v>0</v>
      </c>
      <c r="O16" s="191">
        <v>0</v>
      </c>
      <c r="P16" s="191">
        <v>0</v>
      </c>
      <c r="Q16" s="194">
        <f t="shared" si="1"/>
        <v>0</v>
      </c>
    </row>
    <row r="17" spans="2:17" ht="17.25">
      <c r="B17" s="96">
        <f t="shared" si="0"/>
        <v>11</v>
      </c>
      <c r="C17" s="87" t="s">
        <v>182</v>
      </c>
      <c r="D17" s="99" t="s">
        <v>186</v>
      </c>
      <c r="E17" s="192">
        <v>4.63</v>
      </c>
      <c r="F17" s="192">
        <v>4.63</v>
      </c>
      <c r="G17" s="192">
        <v>4.63</v>
      </c>
      <c r="H17" s="192">
        <v>4.63</v>
      </c>
      <c r="I17" s="192">
        <v>4.63</v>
      </c>
      <c r="J17" s="192">
        <v>4.63</v>
      </c>
      <c r="K17" s="192">
        <v>4.63</v>
      </c>
      <c r="L17" s="192">
        <v>4.63</v>
      </c>
      <c r="M17" s="192">
        <v>4.63</v>
      </c>
      <c r="N17" s="192">
        <v>4.63</v>
      </c>
      <c r="O17" s="192">
        <v>4.63</v>
      </c>
      <c r="P17" s="192">
        <v>4.63</v>
      </c>
      <c r="Q17" s="240"/>
    </row>
    <row r="18" spans="2:17" ht="17.25">
      <c r="B18" s="96">
        <f t="shared" si="0"/>
        <v>12</v>
      </c>
      <c r="C18" s="87" t="s">
        <v>199</v>
      </c>
      <c r="D18" s="99" t="s">
        <v>187</v>
      </c>
      <c r="E18" s="193">
        <v>9.4476190476190478</v>
      </c>
      <c r="F18" s="193">
        <v>9.7625396825396837</v>
      </c>
      <c r="G18" s="193">
        <v>0.62984126984126987</v>
      </c>
      <c r="H18" s="193">
        <v>0</v>
      </c>
      <c r="I18" s="193">
        <v>0</v>
      </c>
      <c r="J18" s="193">
        <v>0</v>
      </c>
      <c r="K18" s="193">
        <v>0</v>
      </c>
      <c r="L18" s="193">
        <v>0</v>
      </c>
      <c r="M18" s="193">
        <v>0</v>
      </c>
      <c r="N18" s="193">
        <v>0</v>
      </c>
      <c r="O18" s="193">
        <v>0</v>
      </c>
      <c r="P18" s="193">
        <v>0</v>
      </c>
      <c r="Q18" s="194">
        <f t="shared" si="1"/>
        <v>19.84</v>
      </c>
    </row>
    <row r="19" spans="2:17" ht="17.25">
      <c r="B19" s="96">
        <f t="shared" si="0"/>
        <v>13</v>
      </c>
      <c r="C19" s="87" t="s">
        <v>346</v>
      </c>
      <c r="D19" s="99" t="s">
        <v>186</v>
      </c>
      <c r="E19" s="192">
        <v>5.0529999999999999</v>
      </c>
      <c r="F19" s="192">
        <v>4.8630000000000004</v>
      </c>
      <c r="G19" s="192">
        <v>4.8609999999999998</v>
      </c>
      <c r="H19" s="192">
        <v>0</v>
      </c>
      <c r="I19" s="192">
        <v>0</v>
      </c>
      <c r="J19" s="192">
        <v>0</v>
      </c>
      <c r="K19" s="192">
        <v>0</v>
      </c>
      <c r="L19" s="192">
        <v>0</v>
      </c>
      <c r="M19" s="192">
        <v>0</v>
      </c>
      <c r="N19" s="192">
        <v>0</v>
      </c>
      <c r="O19" s="192">
        <v>0</v>
      </c>
      <c r="P19" s="192">
        <v>0</v>
      </c>
      <c r="Q19" s="241"/>
    </row>
    <row r="20" spans="2:17" ht="17.25">
      <c r="B20" s="96">
        <f t="shared" si="0"/>
        <v>14</v>
      </c>
      <c r="C20" s="87" t="s">
        <v>183</v>
      </c>
      <c r="D20" s="99" t="s">
        <v>187</v>
      </c>
      <c r="E20" s="193">
        <v>2.3374521008403364</v>
      </c>
      <c r="F20" s="193">
        <v>2.5238480672268913</v>
      </c>
      <c r="G20" s="193">
        <v>-7.4024873949579906E-2</v>
      </c>
      <c r="H20" s="193">
        <v>0</v>
      </c>
      <c r="I20" s="193">
        <v>0</v>
      </c>
      <c r="J20" s="193">
        <v>0</v>
      </c>
      <c r="K20" s="193">
        <v>0</v>
      </c>
      <c r="L20" s="193">
        <v>0</v>
      </c>
      <c r="M20" s="193">
        <v>0</v>
      </c>
      <c r="N20" s="193">
        <v>0</v>
      </c>
      <c r="O20" s="193">
        <v>0</v>
      </c>
      <c r="P20" s="193">
        <v>0</v>
      </c>
      <c r="Q20" s="194">
        <f t="shared" si="1"/>
        <v>4.7872752941176477</v>
      </c>
    </row>
    <row r="21" spans="2:17" ht="17.25">
      <c r="B21" s="96">
        <f t="shared" si="0"/>
        <v>15</v>
      </c>
      <c r="C21" s="87" t="s">
        <v>347</v>
      </c>
      <c r="D21" s="99" t="s">
        <v>187</v>
      </c>
      <c r="E21" s="193">
        <v>2.5475419079999999</v>
      </c>
      <c r="F21" s="193">
        <v>2.20711608</v>
      </c>
      <c r="G21" s="193">
        <v>6.8927184000000086E-2</v>
      </c>
      <c r="H21" s="193">
        <v>-6.5216088000000075E-2</v>
      </c>
      <c r="I21" s="193">
        <v>-6.0303816000000003E-2</v>
      </c>
      <c r="J21" s="193">
        <v>-5.7205259999999952E-2</v>
      </c>
      <c r="K21" s="193">
        <v>0</v>
      </c>
      <c r="L21" s="193">
        <v>0</v>
      </c>
      <c r="M21" s="193">
        <v>0</v>
      </c>
      <c r="N21" s="193">
        <v>0</v>
      </c>
      <c r="O21" s="193">
        <v>0</v>
      </c>
      <c r="P21" s="193">
        <v>0</v>
      </c>
      <c r="Q21" s="194">
        <f t="shared" si="1"/>
        <v>4.6408600079999998</v>
      </c>
    </row>
    <row r="22" spans="2:17" ht="17.25">
      <c r="B22" s="96">
        <f t="shared" si="0"/>
        <v>16</v>
      </c>
      <c r="C22" s="87" t="s">
        <v>200</v>
      </c>
      <c r="D22" s="99" t="s">
        <v>187</v>
      </c>
      <c r="E22" s="193">
        <v>1.7606799774240591</v>
      </c>
      <c r="F22" s="193">
        <v>1.384703016</v>
      </c>
      <c r="G22" s="193">
        <v>4.3201755607967414E-2</v>
      </c>
      <c r="H22" s="193">
        <v>6.5216088000000075E-2</v>
      </c>
      <c r="I22" s="193">
        <v>6.0303816000000003E-2</v>
      </c>
      <c r="J22" s="193">
        <v>5.7205259999999952E-2</v>
      </c>
      <c r="K22" s="193">
        <v>0</v>
      </c>
      <c r="L22" s="193">
        <v>0</v>
      </c>
      <c r="M22" s="193">
        <v>0</v>
      </c>
      <c r="N22" s="193">
        <v>0</v>
      </c>
      <c r="O22" s="193">
        <v>0</v>
      </c>
      <c r="P22" s="193">
        <v>0</v>
      </c>
      <c r="Q22" s="194">
        <f t="shared" si="1"/>
        <v>3.3713099130320265</v>
      </c>
    </row>
    <row r="23" spans="2:17" ht="17.25">
      <c r="B23" s="96">
        <f t="shared" si="0"/>
        <v>17</v>
      </c>
      <c r="C23" s="87" t="s">
        <v>184</v>
      </c>
      <c r="D23" s="99" t="s">
        <v>187</v>
      </c>
      <c r="E23" s="193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4"/>
    </row>
    <row r="24" spans="2:17" ht="17.25">
      <c r="B24" s="96">
        <f t="shared" si="0"/>
        <v>18</v>
      </c>
      <c r="C24" s="101" t="s">
        <v>138</v>
      </c>
      <c r="D24" s="99" t="s">
        <v>187</v>
      </c>
      <c r="E24" s="194">
        <v>6.645673986264395</v>
      </c>
      <c r="F24" s="194">
        <v>6.1156671632268917</v>
      </c>
      <c r="G24" s="194">
        <v>3.8104065658387594E-2</v>
      </c>
      <c r="H24" s="194">
        <v>0</v>
      </c>
      <c r="I24" s="194">
        <v>0</v>
      </c>
      <c r="J24" s="194">
        <v>0</v>
      </c>
      <c r="K24" s="194">
        <v>0</v>
      </c>
      <c r="L24" s="194">
        <v>0</v>
      </c>
      <c r="M24" s="194">
        <v>0</v>
      </c>
      <c r="N24" s="194">
        <v>0</v>
      </c>
      <c r="O24" s="194">
        <v>0</v>
      </c>
      <c r="P24" s="194">
        <v>0</v>
      </c>
      <c r="Q24" s="194">
        <f t="shared" si="1"/>
        <v>12.799445215149674</v>
      </c>
    </row>
    <row r="25" spans="2:17" ht="17.25">
      <c r="B25" s="96">
        <f t="shared" si="0"/>
        <v>19</v>
      </c>
      <c r="C25" s="103" t="s">
        <v>185</v>
      </c>
      <c r="D25" s="99"/>
      <c r="E25" s="193"/>
      <c r="F25" s="191"/>
      <c r="G25" s="191"/>
      <c r="H25" s="191"/>
      <c r="I25" s="191"/>
      <c r="J25" s="191"/>
      <c r="K25" s="191"/>
      <c r="L25" s="191"/>
      <c r="M25" s="191"/>
      <c r="N25" s="191"/>
      <c r="O25" s="191"/>
      <c r="P25" s="191"/>
      <c r="Q25" s="194"/>
    </row>
    <row r="26" spans="2:17" ht="33">
      <c r="B26" s="153" t="s">
        <v>440</v>
      </c>
      <c r="C26" s="154" t="s">
        <v>441</v>
      </c>
      <c r="D26" s="155" t="s">
        <v>187</v>
      </c>
      <c r="E26" s="193"/>
      <c r="F26" s="191"/>
      <c r="G26" s="191"/>
      <c r="H26" s="191"/>
      <c r="I26" s="191"/>
      <c r="J26" s="191"/>
      <c r="K26" s="191"/>
      <c r="L26" s="191"/>
      <c r="M26" s="191"/>
      <c r="N26" s="191"/>
      <c r="O26" s="191"/>
      <c r="P26" s="191"/>
      <c r="Q26" s="194">
        <v>3.48</v>
      </c>
    </row>
    <row r="27" spans="2:17" ht="33">
      <c r="B27" s="153" t="s">
        <v>440</v>
      </c>
      <c r="C27" s="154" t="s">
        <v>442</v>
      </c>
      <c r="D27" s="155" t="s">
        <v>187</v>
      </c>
      <c r="E27" s="193"/>
      <c r="F27" s="191"/>
      <c r="G27" s="191"/>
      <c r="H27" s="191"/>
      <c r="I27" s="191"/>
      <c r="J27" s="191"/>
      <c r="K27" s="191"/>
      <c r="L27" s="191"/>
      <c r="M27" s="191"/>
      <c r="N27" s="191"/>
      <c r="O27" s="191"/>
      <c r="P27" s="191"/>
      <c r="Q27" s="194">
        <v>-0.72</v>
      </c>
    </row>
    <row r="28" spans="2:17" ht="17.25">
      <c r="B28" s="153" t="s">
        <v>440</v>
      </c>
      <c r="C28" s="154" t="s">
        <v>99</v>
      </c>
      <c r="D28" s="155" t="s">
        <v>187</v>
      </c>
      <c r="E28" s="193"/>
      <c r="F28" s="191"/>
      <c r="G28" s="191"/>
      <c r="H28" s="191"/>
      <c r="I28" s="191"/>
      <c r="J28" s="191"/>
      <c r="K28" s="191"/>
      <c r="L28" s="191"/>
      <c r="M28" s="191"/>
      <c r="N28" s="191"/>
      <c r="O28" s="191"/>
      <c r="P28" s="191"/>
      <c r="Q28" s="194">
        <v>0.06</v>
      </c>
    </row>
    <row r="29" spans="2:17" ht="33">
      <c r="B29" s="153" t="s">
        <v>440</v>
      </c>
      <c r="C29" s="154" t="s">
        <v>443</v>
      </c>
      <c r="D29" s="155" t="s">
        <v>187</v>
      </c>
      <c r="E29" s="193"/>
      <c r="F29" s="191"/>
      <c r="G29" s="191"/>
      <c r="H29" s="191"/>
      <c r="I29" s="191"/>
      <c r="J29" s="191"/>
      <c r="K29" s="191"/>
      <c r="L29" s="191"/>
      <c r="M29" s="191"/>
      <c r="N29" s="191"/>
      <c r="O29" s="191"/>
      <c r="P29" s="191"/>
      <c r="Q29" s="194"/>
    </row>
    <row r="30" spans="2:17" ht="17.25">
      <c r="B30" s="99">
        <f>B25+1</f>
        <v>20</v>
      </c>
      <c r="C30" s="86" t="s">
        <v>152</v>
      </c>
      <c r="D30" s="99" t="s">
        <v>187</v>
      </c>
      <c r="E30" s="194">
        <v>6.645673986264395</v>
      </c>
      <c r="F30" s="194">
        <v>6.1156671632268917</v>
      </c>
      <c r="G30" s="194">
        <v>3.8104065658387594E-2</v>
      </c>
      <c r="H30" s="194">
        <v>0</v>
      </c>
      <c r="I30" s="194">
        <v>0</v>
      </c>
      <c r="J30" s="194">
        <v>0</v>
      </c>
      <c r="K30" s="194">
        <v>0</v>
      </c>
      <c r="L30" s="194">
        <v>0</v>
      </c>
      <c r="M30" s="194">
        <v>0</v>
      </c>
      <c r="N30" s="194">
        <v>0</v>
      </c>
      <c r="O30" s="194">
        <v>0</v>
      </c>
      <c r="P30" s="194">
        <v>0</v>
      </c>
      <c r="Q30" s="194">
        <f>Q24+Q26+Q27+Q28</f>
        <v>15.619445215149675</v>
      </c>
    </row>
    <row r="31" spans="2:17" ht="17.25">
      <c r="B31" s="99">
        <f>B30+1</f>
        <v>21</v>
      </c>
      <c r="C31" s="86" t="s">
        <v>188</v>
      </c>
      <c r="D31" s="99" t="s">
        <v>187</v>
      </c>
      <c r="E31" s="193"/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4"/>
    </row>
  </sheetData>
  <pageMargins left="0.2" right="0.2" top="0.25" bottom="0.25" header="0.3" footer="0.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G16"/>
  <sheetViews>
    <sheetView showGridLines="0" view="pageBreakPreview" zoomScale="95" zoomScaleNormal="95" zoomScaleSheetLayoutView="95" workbookViewId="0">
      <selection activeCell="L9" sqref="L9"/>
    </sheetView>
  </sheetViews>
  <sheetFormatPr defaultColWidth="9.28515625" defaultRowHeight="14.25"/>
  <cols>
    <col min="1" max="1" width="3.28515625" style="5" customWidth="1"/>
    <col min="2" max="2" width="8.85546875" style="5" customWidth="1"/>
    <col min="3" max="3" width="20.7109375" style="5" customWidth="1"/>
    <col min="4" max="4" width="15" style="5" customWidth="1"/>
    <col min="5" max="5" width="11.85546875" style="5" customWidth="1"/>
    <col min="6" max="6" width="11.7109375" style="5" customWidth="1"/>
    <col min="7" max="7" width="20.85546875" style="5" customWidth="1"/>
    <col min="8" max="16384" width="9.28515625" style="5"/>
  </cols>
  <sheetData>
    <row r="1" spans="2:7" ht="15">
      <c r="C1" s="36"/>
      <c r="D1" s="36"/>
      <c r="E1" s="36"/>
      <c r="F1" s="36"/>
      <c r="G1" s="36"/>
    </row>
    <row r="2" spans="2:7" ht="15">
      <c r="B2" s="248" t="s">
        <v>381</v>
      </c>
      <c r="C2" s="248"/>
      <c r="D2" s="248"/>
      <c r="E2" s="248"/>
      <c r="F2" s="248"/>
      <c r="G2" s="248"/>
    </row>
    <row r="3" spans="2:7" ht="15">
      <c r="B3" s="248" t="s">
        <v>467</v>
      </c>
      <c r="C3" s="248"/>
      <c r="D3" s="248"/>
      <c r="E3" s="248"/>
      <c r="F3" s="248"/>
      <c r="G3" s="248"/>
    </row>
    <row r="4" spans="2:7" ht="15">
      <c r="B4" s="248" t="s">
        <v>356</v>
      </c>
      <c r="C4" s="248"/>
      <c r="D4" s="248"/>
      <c r="E4" s="248"/>
      <c r="F4" s="248"/>
      <c r="G4" s="248"/>
    </row>
    <row r="5" spans="2:7" ht="15">
      <c r="B5" s="35"/>
      <c r="C5" s="35"/>
      <c r="D5" s="35"/>
      <c r="E5" s="35"/>
      <c r="F5" s="35"/>
      <c r="G5" s="35"/>
    </row>
    <row r="6" spans="2:7" ht="15">
      <c r="B6" s="24" t="s">
        <v>62</v>
      </c>
      <c r="C6" s="24"/>
      <c r="D6" s="24"/>
      <c r="E6" s="24"/>
      <c r="F6" s="24"/>
      <c r="G6" s="24"/>
    </row>
    <row r="7" spans="2:7" ht="15">
      <c r="F7" s="262" t="s">
        <v>4</v>
      </c>
      <c r="G7" s="262"/>
    </row>
    <row r="8" spans="2:7" ht="15" customHeight="1">
      <c r="B8" s="31" t="s">
        <v>175</v>
      </c>
      <c r="C8" s="31" t="s">
        <v>12</v>
      </c>
      <c r="D8" s="181" t="s">
        <v>1</v>
      </c>
      <c r="E8" s="259" t="s">
        <v>382</v>
      </c>
      <c r="F8" s="260"/>
      <c r="G8" s="180"/>
    </row>
    <row r="9" spans="2:7" ht="45">
      <c r="B9" s="31"/>
      <c r="C9" s="31"/>
      <c r="D9" s="182"/>
      <c r="E9" s="15" t="s">
        <v>349</v>
      </c>
      <c r="F9" s="15" t="s">
        <v>218</v>
      </c>
      <c r="G9" s="15" t="s">
        <v>447</v>
      </c>
    </row>
    <row r="10" spans="2:7" ht="15">
      <c r="B10" s="31"/>
      <c r="C10" s="31"/>
      <c r="D10" s="22"/>
      <c r="E10" s="15" t="s">
        <v>8</v>
      </c>
      <c r="F10" s="15" t="s">
        <v>10</v>
      </c>
      <c r="G10" s="15" t="s">
        <v>211</v>
      </c>
    </row>
    <row r="11" spans="2:7">
      <c r="B11" s="20">
        <v>1</v>
      </c>
      <c r="C11" s="29" t="s">
        <v>63</v>
      </c>
      <c r="D11" s="29" t="s">
        <v>18</v>
      </c>
      <c r="E11" s="117"/>
      <c r="F11" s="134">
        <f>F2.1!D35</f>
        <v>22.6</v>
      </c>
      <c r="G11" s="134">
        <f>F11</f>
        <v>22.6</v>
      </c>
    </row>
    <row r="12" spans="2:7">
      <c r="B12" s="20">
        <f>B11+1</f>
        <v>2</v>
      </c>
      <c r="C12" s="37" t="s">
        <v>219</v>
      </c>
      <c r="D12" s="37" t="s">
        <v>19</v>
      </c>
      <c r="E12" s="123"/>
      <c r="F12" s="135">
        <f>F2.2!D38</f>
        <v>0.76</v>
      </c>
      <c r="G12" s="134">
        <f t="shared" ref="G12:G13" si="0">F12</f>
        <v>0.76</v>
      </c>
    </row>
    <row r="13" spans="2:7">
      <c r="B13" s="20">
        <f>B12+1</f>
        <v>3</v>
      </c>
      <c r="C13" s="29" t="s">
        <v>193</v>
      </c>
      <c r="D13" s="29" t="s">
        <v>248</v>
      </c>
      <c r="E13" s="117"/>
      <c r="F13" s="134">
        <f>F2.3!D18</f>
        <v>0.42</v>
      </c>
      <c r="G13" s="134">
        <f t="shared" si="0"/>
        <v>0.42</v>
      </c>
    </row>
    <row r="14" spans="2:7" ht="15">
      <c r="B14" s="20">
        <f>B13+1</f>
        <v>4</v>
      </c>
      <c r="C14" s="29" t="s">
        <v>64</v>
      </c>
      <c r="D14" s="29"/>
      <c r="E14" s="136">
        <v>17.48</v>
      </c>
      <c r="F14" s="136">
        <f t="shared" ref="F14:G14" si="1">ROUND(SUM(F11:F13),2)</f>
        <v>23.78</v>
      </c>
      <c r="G14" s="136">
        <f t="shared" si="1"/>
        <v>23.78</v>
      </c>
    </row>
    <row r="15" spans="2:7">
      <c r="B15" s="48" t="s">
        <v>220</v>
      </c>
      <c r="C15" s="49"/>
      <c r="D15" s="46"/>
      <c r="E15" s="158"/>
      <c r="F15" s="46"/>
      <c r="G15" s="47"/>
    </row>
    <row r="16" spans="2:7">
      <c r="B16" s="50">
        <v>1</v>
      </c>
      <c r="C16" s="49" t="s">
        <v>221</v>
      </c>
    </row>
  </sheetData>
  <mergeCells count="5">
    <mergeCell ref="E8:F8"/>
    <mergeCell ref="B2:G2"/>
    <mergeCell ref="B3:G3"/>
    <mergeCell ref="B4:G4"/>
    <mergeCell ref="F7:G7"/>
  </mergeCells>
  <pageMargins left="0.70866141732283505" right="0.70866141732283505" top="0.74803149606299202" bottom="0.74803149606299202" header="0.31496062992126" footer="0.31496062992126"/>
  <pageSetup paperSize="9" scale="12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F37"/>
  <sheetViews>
    <sheetView showGridLines="0" view="pageBreakPreview" topLeftCell="A18" zoomScale="98" zoomScaleNormal="95" zoomScaleSheetLayoutView="98" workbookViewId="0">
      <selection activeCell="D35" sqref="D35"/>
    </sheetView>
  </sheetViews>
  <sheetFormatPr defaultColWidth="9.28515625" defaultRowHeight="14.25"/>
  <cols>
    <col min="1" max="1" width="4.140625" style="13" customWidth="1"/>
    <col min="2" max="2" width="7" style="13" customWidth="1"/>
    <col min="3" max="3" width="40.7109375" style="13" customWidth="1"/>
    <col min="4" max="4" width="12.7109375" style="13" customWidth="1"/>
    <col min="5" max="5" width="9.28515625" style="13"/>
    <col min="6" max="6" width="16.28515625" style="13" bestFit="1" customWidth="1"/>
    <col min="7" max="16384" width="9.28515625" style="13"/>
  </cols>
  <sheetData>
    <row r="1" spans="2:6" ht="14.25" customHeight="1">
      <c r="C1" s="35" t="s">
        <v>381</v>
      </c>
      <c r="D1" s="35"/>
    </row>
    <row r="2" spans="2:6" ht="14.25" customHeight="1">
      <c r="C2" s="35" t="s">
        <v>467</v>
      </c>
      <c r="D2" s="35"/>
    </row>
    <row r="3" spans="2:6" s="4" customFormat="1" ht="14.25" customHeight="1">
      <c r="C3" s="35" t="s">
        <v>249</v>
      </c>
      <c r="D3" s="35"/>
    </row>
    <row r="4" spans="2:6" s="4" customFormat="1" ht="3" customHeight="1">
      <c r="C4" s="185"/>
      <c r="D4" s="61"/>
    </row>
    <row r="5" spans="2:6" ht="15">
      <c r="D5" s="26" t="s">
        <v>4</v>
      </c>
    </row>
    <row r="6" spans="2:6" ht="12.75" customHeight="1">
      <c r="B6" s="14" t="s">
        <v>2</v>
      </c>
      <c r="C6" s="14" t="s">
        <v>12</v>
      </c>
      <c r="D6" s="15" t="s">
        <v>382</v>
      </c>
    </row>
    <row r="7" spans="2:6" ht="15">
      <c r="B7" s="14"/>
      <c r="C7" s="14"/>
      <c r="D7" s="15" t="s">
        <v>218</v>
      </c>
    </row>
    <row r="8" spans="2:6" ht="15">
      <c r="B8" s="27"/>
      <c r="C8" s="14"/>
      <c r="D8" s="15" t="s">
        <v>10</v>
      </c>
    </row>
    <row r="9" spans="2:6" ht="18" customHeight="1">
      <c r="B9" s="2">
        <v>1</v>
      </c>
      <c r="C9" s="41" t="s">
        <v>67</v>
      </c>
      <c r="D9" s="187">
        <v>11.98400812671828</v>
      </c>
      <c r="F9" s="137"/>
    </row>
    <row r="10" spans="2:6" ht="18" customHeight="1">
      <c r="B10" s="2">
        <v>2</v>
      </c>
      <c r="C10" s="41" t="s">
        <v>68</v>
      </c>
      <c r="D10" s="187">
        <v>1.5721012625654298</v>
      </c>
      <c r="F10" s="137"/>
    </row>
    <row r="11" spans="2:6" ht="18" customHeight="1">
      <c r="B11" s="2">
        <v>3</v>
      </c>
      <c r="C11" s="3" t="s">
        <v>69</v>
      </c>
      <c r="D11" s="187">
        <v>0.1423183259076467</v>
      </c>
      <c r="F11" s="137"/>
    </row>
    <row r="12" spans="2:6" ht="18" customHeight="1">
      <c r="B12" s="2">
        <v>4</v>
      </c>
      <c r="C12" s="41" t="s">
        <v>70</v>
      </c>
      <c r="D12" s="187">
        <v>8.9934002942750182E-2</v>
      </c>
      <c r="F12" s="137"/>
    </row>
    <row r="13" spans="2:6" ht="18" customHeight="1">
      <c r="B13" s="2">
        <v>5</v>
      </c>
      <c r="C13" s="41" t="s">
        <v>71</v>
      </c>
      <c r="D13" s="187">
        <v>0</v>
      </c>
      <c r="F13" s="137"/>
    </row>
    <row r="14" spans="2:6" ht="18" customHeight="1">
      <c r="B14" s="2">
        <v>6</v>
      </c>
      <c r="C14" s="3" t="s">
        <v>72</v>
      </c>
      <c r="D14" s="187">
        <v>2.1992507037503506</v>
      </c>
      <c r="F14" s="137"/>
    </row>
    <row r="15" spans="2:6" ht="18" customHeight="1">
      <c r="B15" s="2">
        <v>7</v>
      </c>
      <c r="C15" s="41" t="s">
        <v>73</v>
      </c>
      <c r="D15" s="187">
        <v>2.0670295234408278</v>
      </c>
      <c r="F15" s="137"/>
    </row>
    <row r="16" spans="2:6" ht="18" customHeight="1">
      <c r="B16" s="2">
        <v>8</v>
      </c>
      <c r="C16" s="41" t="s">
        <v>74</v>
      </c>
      <c r="D16" s="187">
        <v>0.35791543787108693</v>
      </c>
      <c r="F16" s="137"/>
    </row>
    <row r="17" spans="2:6" ht="18" customHeight="1">
      <c r="B17" s="2">
        <v>9</v>
      </c>
      <c r="C17" s="41" t="s">
        <v>75</v>
      </c>
      <c r="D17" s="187">
        <v>0</v>
      </c>
      <c r="F17" s="137"/>
    </row>
    <row r="18" spans="2:6" ht="18" customHeight="1">
      <c r="B18" s="2">
        <v>10</v>
      </c>
      <c r="C18" s="41" t="s">
        <v>76</v>
      </c>
      <c r="D18" s="187">
        <v>0</v>
      </c>
      <c r="F18" s="137"/>
    </row>
    <row r="19" spans="2:6" ht="18" customHeight="1">
      <c r="B19" s="2">
        <v>11</v>
      </c>
      <c r="C19" s="41" t="s">
        <v>77</v>
      </c>
      <c r="D19" s="187">
        <v>5.6373171141172438E-5</v>
      </c>
      <c r="F19" s="137"/>
    </row>
    <row r="20" spans="2:6" ht="18" customHeight="1">
      <c r="B20" s="2">
        <v>12</v>
      </c>
      <c r="C20" s="41" t="s">
        <v>78</v>
      </c>
      <c r="D20" s="187">
        <v>0.19449623921825029</v>
      </c>
      <c r="F20" s="137"/>
    </row>
    <row r="21" spans="2:6" ht="18" customHeight="1">
      <c r="B21" s="2">
        <v>13</v>
      </c>
      <c r="C21" s="41" t="s">
        <v>79</v>
      </c>
      <c r="D21" s="187">
        <v>0</v>
      </c>
      <c r="F21" s="137"/>
    </row>
    <row r="22" spans="2:6" ht="18" customHeight="1">
      <c r="B22" s="2">
        <v>14</v>
      </c>
      <c r="C22" s="41" t="s">
        <v>80</v>
      </c>
      <c r="D22" s="187">
        <v>0</v>
      </c>
      <c r="F22" s="137"/>
    </row>
    <row r="23" spans="2:6" ht="18" customHeight="1">
      <c r="B23" s="2">
        <v>15</v>
      </c>
      <c r="C23" s="41" t="s">
        <v>81</v>
      </c>
      <c r="D23" s="187">
        <v>0</v>
      </c>
      <c r="F23" s="137"/>
    </row>
    <row r="24" spans="2:6" ht="18" customHeight="1">
      <c r="B24" s="2">
        <v>16</v>
      </c>
      <c r="C24" s="41" t="s">
        <v>82</v>
      </c>
      <c r="D24" s="187">
        <v>0</v>
      </c>
      <c r="F24" s="137"/>
    </row>
    <row r="25" spans="2:6" ht="18" customHeight="1">
      <c r="B25" s="2">
        <v>17</v>
      </c>
      <c r="C25" s="41" t="s">
        <v>83</v>
      </c>
      <c r="D25" s="128">
        <f>SUM(D9:D24)</f>
        <v>18.607109995585759</v>
      </c>
      <c r="F25" s="138"/>
    </row>
    <row r="26" spans="2:6" ht="18" customHeight="1">
      <c r="B26" s="2">
        <v>18</v>
      </c>
      <c r="C26" s="41" t="s">
        <v>84</v>
      </c>
      <c r="D26" s="187">
        <v>0</v>
      </c>
    </row>
    <row r="27" spans="2:6" ht="18" customHeight="1">
      <c r="B27" s="2">
        <f>+B26+0.1</f>
        <v>18.100000000000001</v>
      </c>
      <c r="C27" s="41" t="s">
        <v>85</v>
      </c>
      <c r="D27" s="187">
        <v>0</v>
      </c>
    </row>
    <row r="28" spans="2:6" ht="18" customHeight="1">
      <c r="B28" s="2">
        <f>+B27+0.1</f>
        <v>18.200000000000003</v>
      </c>
      <c r="C28" s="41" t="s">
        <v>86</v>
      </c>
      <c r="D28" s="187">
        <v>0.97873128272940091</v>
      </c>
    </row>
    <row r="29" spans="2:6" ht="18" customHeight="1">
      <c r="B29" s="2">
        <f>+B28+0.1</f>
        <v>18.300000000000004</v>
      </c>
      <c r="C29" s="41" t="s">
        <v>87</v>
      </c>
      <c r="D29" s="187">
        <v>0</v>
      </c>
    </row>
    <row r="30" spans="2:6" ht="18" customHeight="1">
      <c r="B30" s="2">
        <f>+B29+0.1</f>
        <v>18.400000000000006</v>
      </c>
      <c r="C30" s="41" t="s">
        <v>88</v>
      </c>
      <c r="D30" s="187">
        <v>3.0146782194160688</v>
      </c>
    </row>
    <row r="31" spans="2:6" ht="30" customHeight="1">
      <c r="B31" s="2">
        <v>19</v>
      </c>
      <c r="C31" s="45" t="s">
        <v>372</v>
      </c>
      <c r="D31" s="187">
        <v>0</v>
      </c>
    </row>
    <row r="32" spans="2:6" ht="18" customHeight="1">
      <c r="B32" s="2">
        <v>20</v>
      </c>
      <c r="C32" s="41" t="s">
        <v>89</v>
      </c>
      <c r="D32" s="187">
        <v>0</v>
      </c>
    </row>
    <row r="33" spans="2:4" ht="18" customHeight="1">
      <c r="B33" s="14">
        <v>21</v>
      </c>
      <c r="C33" s="42" t="s">
        <v>90</v>
      </c>
      <c r="D33" s="116">
        <f>SUM(D25:D32)</f>
        <v>22.600519497731231</v>
      </c>
    </row>
    <row r="34" spans="2:4" ht="18" customHeight="1">
      <c r="B34" s="2">
        <v>22</v>
      </c>
      <c r="C34" s="41" t="s">
        <v>11</v>
      </c>
      <c r="D34" s="234"/>
    </row>
    <row r="35" spans="2:4" ht="18" customHeight="1">
      <c r="B35" s="14">
        <v>23</v>
      </c>
      <c r="C35" s="19" t="s">
        <v>91</v>
      </c>
      <c r="D35" s="106">
        <f>ROUND(D33-D34,2)</f>
        <v>22.6</v>
      </c>
    </row>
    <row r="36" spans="2:4" ht="27.75" customHeight="1">
      <c r="B36" s="43"/>
      <c r="D36" s="139"/>
    </row>
    <row r="37" spans="2:4">
      <c r="B37" s="44"/>
    </row>
  </sheetData>
  <pageMargins left="1" right="0.25" top="0.25" bottom="0.25" header="0.5" footer="0.5"/>
  <pageSetup paperSize="9" scale="95" fitToHeight="0" orientation="landscape" r:id="rId1"/>
  <headerFooter alignWithMargins="0"/>
  <rowBreaks count="1" manualBreakCount="1">
    <brk id="35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D38"/>
  <sheetViews>
    <sheetView showGridLines="0" view="pageBreakPreview" topLeftCell="A12" zoomScale="96" zoomScaleSheetLayoutView="96" workbookViewId="0">
      <selection activeCell="D38" sqref="D38"/>
    </sheetView>
  </sheetViews>
  <sheetFormatPr defaultColWidth="9.28515625" defaultRowHeight="14.25"/>
  <cols>
    <col min="1" max="1" width="2" style="13" customWidth="1"/>
    <col min="2" max="2" width="7" style="13" customWidth="1"/>
    <col min="3" max="3" width="50.28515625" style="13" customWidth="1"/>
    <col min="4" max="4" width="15.7109375" style="13" customWidth="1"/>
    <col min="5" max="16384" width="9.28515625" style="13"/>
  </cols>
  <sheetData>
    <row r="1" spans="2:4" ht="14.25" customHeight="1">
      <c r="C1" s="35" t="s">
        <v>381</v>
      </c>
      <c r="D1" s="35"/>
    </row>
    <row r="2" spans="2:4" ht="14.25" customHeight="1">
      <c r="C2" s="35" t="s">
        <v>467</v>
      </c>
      <c r="D2" s="35"/>
    </row>
    <row r="3" spans="2:4" s="4" customFormat="1" ht="15">
      <c r="C3" s="35" t="s">
        <v>383</v>
      </c>
      <c r="D3" s="35"/>
    </row>
    <row r="4" spans="2:4" ht="15">
      <c r="D4" s="26" t="s">
        <v>4</v>
      </c>
    </row>
    <row r="5" spans="2:4" ht="12.75" customHeight="1">
      <c r="B5" s="15" t="s">
        <v>175</v>
      </c>
      <c r="C5" s="14" t="s">
        <v>12</v>
      </c>
      <c r="D5" s="15" t="s">
        <v>382</v>
      </c>
    </row>
    <row r="6" spans="2:4" ht="15">
      <c r="B6" s="15"/>
      <c r="C6" s="14"/>
      <c r="D6" s="15" t="s">
        <v>218</v>
      </c>
    </row>
    <row r="7" spans="2:4" ht="15">
      <c r="B7" s="15"/>
      <c r="C7" s="14"/>
      <c r="D7" s="15" t="s">
        <v>10</v>
      </c>
    </row>
    <row r="8" spans="2:4">
      <c r="B8" s="3">
        <v>1</v>
      </c>
      <c r="C8" s="51" t="s">
        <v>92</v>
      </c>
      <c r="D8" s="187">
        <v>0.10790141382781339</v>
      </c>
    </row>
    <row r="9" spans="2:4">
      <c r="B9" s="3">
        <v>2</v>
      </c>
      <c r="C9" s="52" t="s">
        <v>93</v>
      </c>
      <c r="D9" s="187">
        <v>0</v>
      </c>
    </row>
    <row r="10" spans="2:4">
      <c r="B10" s="3">
        <v>3</v>
      </c>
      <c r="C10" s="52" t="s">
        <v>94</v>
      </c>
      <c r="D10" s="187">
        <v>4.3110286157401556E-3</v>
      </c>
    </row>
    <row r="11" spans="2:4">
      <c r="B11" s="3">
        <v>4</v>
      </c>
      <c r="C11" s="52" t="s">
        <v>95</v>
      </c>
      <c r="D11" s="187">
        <v>1.1219641736645872E-2</v>
      </c>
    </row>
    <row r="12" spans="2:4">
      <c r="B12" s="3">
        <v>5</v>
      </c>
      <c r="C12" s="52" t="s">
        <v>96</v>
      </c>
      <c r="D12" s="187">
        <v>4.7123269730126472E-4</v>
      </c>
    </row>
    <row r="13" spans="2:4">
      <c r="B13" s="3">
        <v>6</v>
      </c>
      <c r="C13" s="52" t="s">
        <v>97</v>
      </c>
      <c r="D13" s="187">
        <v>2.2523950204001073E-3</v>
      </c>
    </row>
    <row r="14" spans="2:4">
      <c r="B14" s="3">
        <v>7</v>
      </c>
      <c r="C14" s="52" t="s">
        <v>98</v>
      </c>
      <c r="D14" s="187">
        <v>0.44237223658974351</v>
      </c>
    </row>
    <row r="15" spans="2:4">
      <c r="B15" s="3">
        <v>8</v>
      </c>
      <c r="C15" s="52" t="s">
        <v>99</v>
      </c>
      <c r="D15" s="187">
        <v>5.3010355405951335E-5</v>
      </c>
    </row>
    <row r="16" spans="2:4">
      <c r="B16" s="3">
        <v>9</v>
      </c>
      <c r="C16" s="52" t="s">
        <v>100</v>
      </c>
      <c r="D16" s="187">
        <v>0.17586560760266132</v>
      </c>
    </row>
    <row r="17" spans="2:4">
      <c r="B17" s="3">
        <v>10</v>
      </c>
      <c r="C17" s="52" t="s">
        <v>101</v>
      </c>
      <c r="D17" s="187">
        <v>8.787740391287319E-3</v>
      </c>
    </row>
    <row r="18" spans="2:4">
      <c r="B18" s="3">
        <v>11</v>
      </c>
      <c r="C18" s="52" t="s">
        <v>102</v>
      </c>
      <c r="D18" s="187">
        <v>7.1230938466615068E-5</v>
      </c>
    </row>
    <row r="19" spans="2:4">
      <c r="B19" s="3">
        <v>12</v>
      </c>
      <c r="C19" s="52" t="s">
        <v>103</v>
      </c>
      <c r="D19" s="187">
        <v>0</v>
      </c>
    </row>
    <row r="20" spans="2:4">
      <c r="B20" s="3">
        <v>13</v>
      </c>
      <c r="C20" s="52" t="s">
        <v>104</v>
      </c>
      <c r="D20" s="187">
        <v>6.5492047018161177E-4</v>
      </c>
    </row>
    <row r="21" spans="2:4">
      <c r="B21" s="3">
        <v>14</v>
      </c>
      <c r="C21" s="52" t="s">
        <v>105</v>
      </c>
      <c r="D21" s="187">
        <v>1.3146826081375303E-3</v>
      </c>
    </row>
    <row r="22" spans="2:4">
      <c r="B22" s="3">
        <v>15</v>
      </c>
      <c r="C22" s="52" t="s">
        <v>106</v>
      </c>
      <c r="D22" s="187">
        <v>0</v>
      </c>
    </row>
    <row r="23" spans="2:4">
      <c r="B23" s="3">
        <v>16</v>
      </c>
      <c r="C23" s="51" t="s">
        <v>107</v>
      </c>
      <c r="D23" s="187">
        <v>0</v>
      </c>
    </row>
    <row r="24" spans="2:4">
      <c r="B24" s="3">
        <v>17</v>
      </c>
      <c r="C24" s="51" t="s">
        <v>108</v>
      </c>
      <c r="D24" s="187">
        <v>0</v>
      </c>
    </row>
    <row r="25" spans="2:4">
      <c r="B25" s="3">
        <v>18</v>
      </c>
      <c r="C25" s="52" t="s">
        <v>109</v>
      </c>
      <c r="D25" s="187">
        <v>7.1628857931293425E-4</v>
      </c>
    </row>
    <row r="26" spans="2:4">
      <c r="B26" s="3">
        <v>19</v>
      </c>
      <c r="C26" s="52" t="s">
        <v>110</v>
      </c>
      <c r="D26" s="187">
        <v>0.131029084578067</v>
      </c>
    </row>
    <row r="27" spans="2:4">
      <c r="B27" s="3">
        <v>20</v>
      </c>
      <c r="C27" s="52" t="s">
        <v>111</v>
      </c>
      <c r="D27" s="187">
        <v>0</v>
      </c>
    </row>
    <row r="28" spans="2:4">
      <c r="B28" s="3">
        <v>21</v>
      </c>
      <c r="C28" s="52" t="s">
        <v>112</v>
      </c>
      <c r="D28" s="187">
        <v>0</v>
      </c>
    </row>
    <row r="29" spans="2:4">
      <c r="B29" s="3">
        <v>22</v>
      </c>
      <c r="C29" s="52" t="s">
        <v>113</v>
      </c>
      <c r="D29" s="187">
        <v>1.1661059078587442E-7</v>
      </c>
    </row>
    <row r="30" spans="2:4">
      <c r="B30" s="3">
        <v>23</v>
      </c>
      <c r="C30" s="52" t="s">
        <v>114</v>
      </c>
      <c r="D30" s="187">
        <v>0</v>
      </c>
    </row>
    <row r="31" spans="2:4">
      <c r="B31" s="3">
        <v>24</v>
      </c>
      <c r="C31" s="52" t="s">
        <v>115</v>
      </c>
      <c r="D31" s="187">
        <v>1.1424006299477582E-3</v>
      </c>
    </row>
    <row r="32" spans="2:4">
      <c r="B32" s="3">
        <v>25</v>
      </c>
      <c r="C32" s="52" t="s">
        <v>116</v>
      </c>
      <c r="D32" s="187">
        <v>0</v>
      </c>
    </row>
    <row r="33" spans="2:4">
      <c r="B33" s="3">
        <v>26</v>
      </c>
      <c r="C33" s="52" t="s">
        <v>117</v>
      </c>
      <c r="D33" s="187">
        <v>0</v>
      </c>
    </row>
    <row r="34" spans="2:4">
      <c r="B34" s="3">
        <v>27</v>
      </c>
      <c r="C34" s="52" t="s">
        <v>118</v>
      </c>
      <c r="D34" s="187">
        <v>1.3414795805796527E-3</v>
      </c>
    </row>
    <row r="35" spans="2:4">
      <c r="B35" s="3">
        <v>28</v>
      </c>
      <c r="C35" s="52" t="s">
        <v>89</v>
      </c>
      <c r="D35" s="187">
        <v>-0.12715281113499458</v>
      </c>
    </row>
    <row r="36" spans="2:4" ht="15">
      <c r="B36" s="3">
        <v>29</v>
      </c>
      <c r="C36" s="53" t="s">
        <v>119</v>
      </c>
      <c r="D36" s="106">
        <f>SUM(D8:D35)</f>
        <v>0.762351699697288</v>
      </c>
    </row>
    <row r="37" spans="2:4" ht="15">
      <c r="B37" s="3">
        <v>30</v>
      </c>
      <c r="C37" s="41" t="s">
        <v>11</v>
      </c>
      <c r="D37" s="234"/>
    </row>
    <row r="38" spans="2:4" ht="15">
      <c r="B38" s="3">
        <v>31</v>
      </c>
      <c r="C38" s="19" t="s">
        <v>120</v>
      </c>
      <c r="D38" s="106">
        <f>ROUND(D36-D37,2)</f>
        <v>0.76</v>
      </c>
    </row>
  </sheetData>
  <pageMargins left="0.75" right="0.25" top="0.25" bottom="0.25" header="0.5" footer="0.5"/>
  <pageSetup paperSize="9" fitToWidth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2:D22"/>
  <sheetViews>
    <sheetView showGridLines="0" view="pageBreakPreview" zoomScale="90" zoomScaleNormal="98" zoomScaleSheetLayoutView="90" workbookViewId="0">
      <selection activeCell="D18" sqref="D18"/>
    </sheetView>
  </sheetViews>
  <sheetFormatPr defaultColWidth="9.28515625" defaultRowHeight="14.25"/>
  <cols>
    <col min="1" max="1" width="4.5703125" style="13" customWidth="1"/>
    <col min="2" max="2" width="8.7109375" style="54" customWidth="1"/>
    <col min="3" max="3" width="45.7109375" style="13" customWidth="1"/>
    <col min="4" max="4" width="15.7109375" style="13" customWidth="1"/>
    <col min="5" max="16384" width="9.28515625" style="13"/>
  </cols>
  <sheetData>
    <row r="2" spans="2:4" ht="14.25" customHeight="1">
      <c r="C2" s="35" t="s">
        <v>381</v>
      </c>
      <c r="D2" s="35"/>
    </row>
    <row r="3" spans="2:4" ht="14.25" customHeight="1">
      <c r="C3" s="35" t="s">
        <v>467</v>
      </c>
      <c r="D3" s="35"/>
    </row>
    <row r="4" spans="2:4" s="4" customFormat="1" ht="14.25" customHeight="1">
      <c r="C4" s="35" t="s">
        <v>250</v>
      </c>
      <c r="D4" s="35"/>
    </row>
    <row r="6" spans="2:4" ht="15">
      <c r="D6" s="26" t="s">
        <v>4</v>
      </c>
    </row>
    <row r="7" spans="2:4" ht="12.75" customHeight="1">
      <c r="B7" s="15" t="s">
        <v>175</v>
      </c>
      <c r="C7" s="14" t="s">
        <v>12</v>
      </c>
      <c r="D7" s="15" t="s">
        <v>382</v>
      </c>
    </row>
    <row r="8" spans="2:4" ht="15">
      <c r="B8" s="15"/>
      <c r="C8" s="14"/>
      <c r="D8" s="15" t="s">
        <v>218</v>
      </c>
    </row>
    <row r="9" spans="2:4" ht="15">
      <c r="B9" s="15"/>
      <c r="C9" s="14"/>
      <c r="D9" s="15" t="s">
        <v>10</v>
      </c>
    </row>
    <row r="10" spans="2:4">
      <c r="B10" s="2">
        <v>1</v>
      </c>
      <c r="C10" s="52" t="s">
        <v>121</v>
      </c>
      <c r="D10" s="187">
        <v>0.29332367515549723</v>
      </c>
    </row>
    <row r="11" spans="2:4">
      <c r="B11" s="2">
        <v>2</v>
      </c>
      <c r="C11" s="52" t="s">
        <v>122</v>
      </c>
      <c r="D11" s="187">
        <v>7.9515253104754463E-2</v>
      </c>
    </row>
    <row r="12" spans="2:4">
      <c r="B12" s="2">
        <v>3</v>
      </c>
      <c r="C12" s="52" t="s">
        <v>123</v>
      </c>
      <c r="D12" s="187">
        <v>0</v>
      </c>
    </row>
    <row r="13" spans="2:4">
      <c r="B13" s="2">
        <v>4</v>
      </c>
      <c r="C13" s="52" t="s">
        <v>124</v>
      </c>
      <c r="D13" s="187">
        <v>0</v>
      </c>
    </row>
    <row r="14" spans="2:4">
      <c r="B14" s="2">
        <v>5</v>
      </c>
      <c r="C14" s="52" t="s">
        <v>125</v>
      </c>
      <c r="D14" s="187">
        <v>3.0160632219555575E-2</v>
      </c>
    </row>
    <row r="15" spans="2:4">
      <c r="B15" s="2">
        <v>6</v>
      </c>
      <c r="C15" s="52" t="s">
        <v>126</v>
      </c>
      <c r="D15" s="187">
        <v>1.4952390892963429E-4</v>
      </c>
    </row>
    <row r="16" spans="2:4">
      <c r="B16" s="2">
        <v>7</v>
      </c>
      <c r="C16" s="52" t="s">
        <v>127</v>
      </c>
      <c r="D16" s="187">
        <v>0</v>
      </c>
    </row>
    <row r="17" spans="2:4">
      <c r="B17" s="2">
        <v>8</v>
      </c>
      <c r="C17" s="52" t="s">
        <v>128</v>
      </c>
      <c r="D17" s="187">
        <v>1.3306139535799644E-2</v>
      </c>
    </row>
    <row r="18" spans="2:4" ht="15">
      <c r="B18" s="2">
        <v>9</v>
      </c>
      <c r="C18" s="53" t="s">
        <v>129</v>
      </c>
      <c r="D18" s="106">
        <f>ROUND(SUM(D10:D17),2)</f>
        <v>0.42</v>
      </c>
    </row>
    <row r="19" spans="2:4" ht="15">
      <c r="B19" s="2"/>
      <c r="C19" s="51"/>
      <c r="D19" s="234"/>
    </row>
    <row r="20" spans="2:4" ht="15">
      <c r="B20" s="2">
        <v>10</v>
      </c>
      <c r="C20" s="55" t="s">
        <v>130</v>
      </c>
      <c r="D20" s="106">
        <f>'F4'!F23</f>
        <v>127.08</v>
      </c>
    </row>
    <row r="21" spans="2:4" ht="28.5">
      <c r="B21" s="2">
        <v>11</v>
      </c>
      <c r="C21" s="55" t="s">
        <v>131</v>
      </c>
      <c r="D21" s="115">
        <f>IFERROR(D18/D20,0)</f>
        <v>3.3050047214353163E-3</v>
      </c>
    </row>
    <row r="22" spans="2:4">
      <c r="B22" s="2"/>
      <c r="C22" s="51"/>
      <c r="D22" s="3"/>
    </row>
  </sheetData>
  <pageMargins left="1.25" right="0.75" top="1" bottom="1" header="0.5" footer="0.5"/>
  <pageSetup paperSize="9" scale="12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16"/>
  <sheetViews>
    <sheetView view="pageBreakPreview" zoomScale="90" zoomScaleNormal="118" zoomScaleSheetLayoutView="90" workbookViewId="0">
      <selection activeCell="C4" sqref="C4"/>
    </sheetView>
  </sheetViews>
  <sheetFormatPr defaultColWidth="9.28515625" defaultRowHeight="14.25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16384" width="9.28515625" style="4"/>
  </cols>
  <sheetData>
    <row r="1" spans="2:6" ht="15">
      <c r="B1" s="56"/>
    </row>
    <row r="2" spans="2:6" ht="14.25" customHeight="1">
      <c r="C2" s="35" t="s">
        <v>381</v>
      </c>
      <c r="D2" s="35"/>
      <c r="E2" s="35"/>
      <c r="F2" s="35"/>
    </row>
    <row r="3" spans="2:6" ht="14.25" customHeight="1">
      <c r="C3" s="35" t="s">
        <v>467</v>
      </c>
      <c r="D3" s="35"/>
      <c r="E3" s="35"/>
      <c r="F3" s="35"/>
    </row>
    <row r="4" spans="2:6" ht="14.25" customHeight="1">
      <c r="C4" s="24" t="s">
        <v>251</v>
      </c>
      <c r="D4" s="35"/>
      <c r="E4" s="35"/>
      <c r="F4" s="35"/>
    </row>
    <row r="5" spans="2:6" ht="15">
      <c r="B5" s="36"/>
      <c r="C5" s="57"/>
      <c r="D5" s="57"/>
      <c r="E5" s="57"/>
      <c r="F5" s="57"/>
    </row>
    <row r="6" spans="2:6" ht="15">
      <c r="F6" s="26" t="s">
        <v>4</v>
      </c>
    </row>
    <row r="7" spans="2:6" s="13" customFormat="1" ht="15" customHeight="1">
      <c r="B7" s="177" t="s">
        <v>175</v>
      </c>
      <c r="C7" s="14" t="s">
        <v>12</v>
      </c>
      <c r="D7" s="65" t="s">
        <v>382</v>
      </c>
      <c r="E7" s="127"/>
      <c r="F7" s="180"/>
    </row>
    <row r="8" spans="2:6" s="13" customFormat="1" ht="45">
      <c r="B8" s="178"/>
      <c r="C8" s="14"/>
      <c r="D8" s="15" t="s">
        <v>349</v>
      </c>
      <c r="E8" s="15" t="s">
        <v>218</v>
      </c>
      <c r="F8" s="15" t="s">
        <v>190</v>
      </c>
    </row>
    <row r="9" spans="2:6" s="13" customFormat="1" ht="15">
      <c r="B9" s="179"/>
      <c r="C9" s="20"/>
      <c r="D9" s="15" t="s">
        <v>8</v>
      </c>
      <c r="E9" s="15" t="s">
        <v>10</v>
      </c>
      <c r="F9" s="15" t="s">
        <v>211</v>
      </c>
    </row>
    <row r="10" spans="2:6" s="5" customFormat="1">
      <c r="B10" s="59">
        <v>1</v>
      </c>
      <c r="C10" s="27" t="s">
        <v>222</v>
      </c>
      <c r="D10" s="2"/>
      <c r="E10" s="27"/>
      <c r="F10" s="27"/>
    </row>
    <row r="11" spans="2:6" s="5" customFormat="1">
      <c r="B11" s="20">
        <v>2</v>
      </c>
      <c r="C11" s="27" t="s">
        <v>254</v>
      </c>
      <c r="D11" s="2"/>
      <c r="E11" s="104"/>
      <c r="F11" s="104"/>
    </row>
    <row r="12" spans="2:6" s="5" customFormat="1" ht="15">
      <c r="B12" s="20">
        <v>3</v>
      </c>
      <c r="C12" s="29" t="s">
        <v>206</v>
      </c>
      <c r="D12" s="113"/>
      <c r="E12" s="118"/>
      <c r="F12" s="118"/>
    </row>
    <row r="13" spans="2:6" s="5" customFormat="1" ht="15">
      <c r="B13" s="20">
        <v>4</v>
      </c>
      <c r="C13" s="27" t="s">
        <v>223</v>
      </c>
      <c r="D13" s="114">
        <f t="shared" ref="D13:F13" si="0">D10+D11-D12</f>
        <v>0</v>
      </c>
      <c r="E13" s="114">
        <f t="shared" si="0"/>
        <v>0</v>
      </c>
      <c r="F13" s="114">
        <f t="shared" si="0"/>
        <v>0</v>
      </c>
    </row>
    <row r="14" spans="2:6" s="32" customFormat="1" ht="15">
      <c r="B14" s="60"/>
      <c r="C14" s="48"/>
      <c r="D14" s="58"/>
      <c r="E14" s="58"/>
      <c r="F14" s="58"/>
    </row>
    <row r="16" spans="2:6">
      <c r="B16" s="61"/>
    </row>
  </sheetData>
  <pageMargins left="0.27" right="0.25" top="1" bottom="1" header="0.25" footer="0.2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9"/>
  <sheetViews>
    <sheetView showGridLines="0" view="pageBreakPreview" zoomScale="90" zoomScaleNormal="106" zoomScaleSheetLayoutView="90" workbookViewId="0">
      <selection activeCell="A9" sqref="A9:XFD19"/>
    </sheetView>
  </sheetViews>
  <sheetFormatPr defaultColWidth="9.28515625" defaultRowHeight="14.25"/>
  <cols>
    <col min="1" max="1" width="4.28515625" style="5" customWidth="1"/>
    <col min="2" max="2" width="6.28515625" style="5" customWidth="1"/>
    <col min="3" max="3" width="18.28515625" style="5" customWidth="1"/>
    <col min="4" max="4" width="21.28515625" style="5" customWidth="1"/>
    <col min="5" max="5" width="28.7109375" style="5" customWidth="1"/>
    <col min="6" max="7" width="22" style="5" customWidth="1"/>
    <col min="8" max="8" width="17.7109375" style="5" customWidth="1"/>
    <col min="9" max="9" width="24.28515625" style="5" customWidth="1"/>
    <col min="10" max="10" width="15.42578125" style="5" customWidth="1"/>
    <col min="11" max="11" width="37" style="5" customWidth="1"/>
    <col min="12" max="12" width="13" style="5" customWidth="1"/>
    <col min="13" max="13" width="13.28515625" style="5" bestFit="1" customWidth="1"/>
    <col min="14" max="16384" width="9.28515625" style="5"/>
  </cols>
  <sheetData>
    <row r="1" spans="2:13" ht="15">
      <c r="B1" s="24"/>
    </row>
    <row r="2" spans="2:13" ht="15">
      <c r="H2" s="32" t="s">
        <v>381</v>
      </c>
      <c r="I2" s="33"/>
    </row>
    <row r="3" spans="2:13" ht="15">
      <c r="H3" s="32" t="s">
        <v>467</v>
      </c>
      <c r="I3" s="33"/>
    </row>
    <row r="4" spans="2:13" ht="15">
      <c r="H4" s="35" t="s">
        <v>252</v>
      </c>
      <c r="I4" s="35"/>
    </row>
    <row r="5" spans="2:13" ht="15">
      <c r="K5" s="35"/>
    </row>
    <row r="6" spans="2:13" ht="75">
      <c r="B6" s="15" t="s">
        <v>175</v>
      </c>
      <c r="C6" s="23" t="s">
        <v>224</v>
      </c>
      <c r="D6" s="31" t="s">
        <v>226</v>
      </c>
      <c r="E6" s="23" t="s">
        <v>225</v>
      </c>
      <c r="F6" s="31" t="s">
        <v>228</v>
      </c>
      <c r="G6" s="31" t="s">
        <v>231</v>
      </c>
      <c r="H6" s="31" t="s">
        <v>232</v>
      </c>
      <c r="I6" s="31" t="s">
        <v>245</v>
      </c>
      <c r="J6" s="23" t="s">
        <v>227</v>
      </c>
      <c r="K6" s="31" t="s">
        <v>233</v>
      </c>
      <c r="L6" s="31" t="s">
        <v>168</v>
      </c>
      <c r="M6" s="25"/>
    </row>
    <row r="7" spans="2:13" ht="15">
      <c r="B7" s="27"/>
      <c r="C7" s="23" t="s">
        <v>133</v>
      </c>
      <c r="D7" s="121"/>
      <c r="E7" s="112"/>
      <c r="F7" s="107"/>
      <c r="G7" s="107"/>
      <c r="H7" s="107"/>
      <c r="I7" s="27"/>
      <c r="J7" s="27"/>
      <c r="K7" s="27"/>
      <c r="L7" s="27"/>
    </row>
    <row r="8" spans="2:13" ht="15">
      <c r="B8" s="20"/>
      <c r="C8" s="31" t="s">
        <v>382</v>
      </c>
      <c r="D8" s="112"/>
      <c r="E8" s="112"/>
      <c r="F8" s="112"/>
      <c r="G8" s="112"/>
      <c r="H8" s="112"/>
      <c r="I8" s="27"/>
      <c r="J8" s="27"/>
      <c r="K8" s="27"/>
      <c r="L8" s="27"/>
    </row>
    <row r="9" spans="2:13">
      <c r="B9" s="60" t="s">
        <v>229</v>
      </c>
      <c r="C9" s="49" t="s">
        <v>230</v>
      </c>
    </row>
  </sheetData>
  <pageMargins left="0.27" right="0.25" top="1" bottom="1" header="0.25" footer="0.25"/>
  <pageSetup paperSize="9" scale="63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B2:D21"/>
  <sheetViews>
    <sheetView showGridLines="0" view="pageBreakPreview" zoomScaleSheetLayoutView="100" workbookViewId="0">
      <selection activeCell="F19" sqref="F19"/>
    </sheetView>
  </sheetViews>
  <sheetFormatPr defaultColWidth="9.28515625" defaultRowHeight="14.25"/>
  <cols>
    <col min="1" max="2" width="9.28515625" style="83"/>
    <col min="3" max="3" width="42" style="83" customWidth="1"/>
    <col min="4" max="4" width="16.28515625" style="83" customWidth="1"/>
    <col min="5" max="16384" width="9.28515625" style="83"/>
  </cols>
  <sheetData>
    <row r="2" spans="2:4" ht="15">
      <c r="C2" s="32" t="s">
        <v>381</v>
      </c>
    </row>
    <row r="3" spans="2:4" ht="15">
      <c r="C3" s="32" t="s">
        <v>467</v>
      </c>
    </row>
    <row r="4" spans="2:4" ht="15">
      <c r="C4" s="35" t="s">
        <v>277</v>
      </c>
    </row>
    <row r="6" spans="2:4" ht="15" customHeight="1">
      <c r="B6" s="15" t="s">
        <v>175</v>
      </c>
      <c r="C6" s="23" t="s">
        <v>12</v>
      </c>
      <c r="D6" s="15" t="s">
        <v>382</v>
      </c>
    </row>
    <row r="7" spans="2:4" ht="15">
      <c r="B7" s="15"/>
      <c r="C7" s="23"/>
      <c r="D7" s="15"/>
    </row>
    <row r="8" spans="2:4" ht="15">
      <c r="B8" s="15"/>
      <c r="C8" s="23"/>
      <c r="D8" s="84" t="s">
        <v>3</v>
      </c>
    </row>
    <row r="9" spans="2:4" ht="15">
      <c r="B9" s="85">
        <v>1</v>
      </c>
      <c r="C9" s="28" t="s">
        <v>278</v>
      </c>
      <c r="D9" s="105">
        <f>F3.1!H7</f>
        <v>0</v>
      </c>
    </row>
    <row r="10" spans="2:4">
      <c r="B10" s="28"/>
      <c r="C10" s="28"/>
      <c r="D10" s="98"/>
    </row>
    <row r="11" spans="2:4" ht="15">
      <c r="B11" s="85">
        <v>2</v>
      </c>
      <c r="C11" s="86" t="s">
        <v>169</v>
      </c>
      <c r="D11" s="98"/>
    </row>
    <row r="12" spans="2:4">
      <c r="B12" s="28"/>
      <c r="C12" s="28" t="s">
        <v>174</v>
      </c>
      <c r="D12" s="98"/>
    </row>
    <row r="13" spans="2:4">
      <c r="B13" s="28"/>
      <c r="C13" s="28" t="s">
        <v>173</v>
      </c>
      <c r="D13" s="98"/>
    </row>
    <row r="14" spans="2:4">
      <c r="B14" s="28"/>
      <c r="C14" s="28" t="s">
        <v>7</v>
      </c>
      <c r="D14" s="98"/>
    </row>
    <row r="15" spans="2:4" ht="15">
      <c r="B15" s="28"/>
      <c r="C15" s="86" t="s">
        <v>167</v>
      </c>
      <c r="D15" s="105">
        <f>SUM(D12:D14)</f>
        <v>0</v>
      </c>
    </row>
    <row r="16" spans="2:4">
      <c r="B16" s="28"/>
      <c r="C16" s="28"/>
      <c r="D16" s="98"/>
    </row>
    <row r="17" spans="2:4">
      <c r="B17" s="85">
        <v>3</v>
      </c>
      <c r="C17" s="28" t="s">
        <v>0</v>
      </c>
      <c r="D17" s="98"/>
    </row>
    <row r="18" spans="2:4">
      <c r="B18" s="85">
        <v>4</v>
      </c>
      <c r="C18" s="28" t="s">
        <v>170</v>
      </c>
      <c r="D18" s="98">
        <f>D9</f>
        <v>0</v>
      </c>
    </row>
    <row r="19" spans="2:4">
      <c r="B19" s="85">
        <v>5</v>
      </c>
      <c r="C19" s="28" t="s">
        <v>279</v>
      </c>
      <c r="D19" s="98"/>
    </row>
    <row r="20" spans="2:4" ht="15">
      <c r="B20" s="28"/>
      <c r="C20" s="28"/>
      <c r="D20" s="102"/>
    </row>
    <row r="21" spans="2:4" ht="15">
      <c r="B21" s="85">
        <v>6</v>
      </c>
      <c r="C21" s="86" t="s">
        <v>280</v>
      </c>
      <c r="D21" s="105">
        <f>D15+D17+D18+D19</f>
        <v>0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7</vt:i4>
      </vt:variant>
    </vt:vector>
  </HeadingPairs>
  <TitlesOfParts>
    <vt:vector size="28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F10</vt:lpstr>
      <vt:lpstr>F11</vt:lpstr>
      <vt:lpstr>F11.1</vt:lpstr>
      <vt:lpstr>F12</vt:lpstr>
      <vt:lpstr>F13</vt:lpstr>
      <vt:lpstr>F15</vt:lpstr>
      <vt:lpstr>Checklist!Print_Area</vt:lpstr>
      <vt:lpstr>'F10'!Print_Area</vt:lpstr>
      <vt:lpstr>'F11'!Print_Area</vt:lpstr>
      <vt:lpstr>F11.1!Print_Area</vt:lpstr>
      <vt:lpstr>'F12'!Print_Area</vt:lpstr>
      <vt:lpstr>'F7'!Print_Area</vt:lpstr>
      <vt:lpstr>'F8'!Print_Area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acer</cp:lastModifiedBy>
  <cp:lastPrinted>2025-11-28T08:58:14Z</cp:lastPrinted>
  <dcterms:created xsi:type="dcterms:W3CDTF">2004-07-28T05:30:50Z</dcterms:created>
  <dcterms:modified xsi:type="dcterms:W3CDTF">2025-12-10T07:37:02Z</dcterms:modified>
</cp:coreProperties>
</file>